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65161" yWindow="255" windowWidth="2520" windowHeight="2250" tabRatio="611" activeTab="4"/>
  </bookViews>
  <sheets>
    <sheet name="Registro" sheetId="13" r:id="rId1"/>
    <sheet name="1-3" sheetId="1" r:id="rId2"/>
    <sheet name="4-7" sheetId="2" r:id="rId3"/>
    <sheet name="8-11" sheetId="3" r:id="rId4"/>
    <sheet name="12-15" sheetId="4" r:id="rId5"/>
    <sheet name="16" sheetId="5" r:id="rId6"/>
    <sheet name="17-23" sheetId="6" r:id="rId7"/>
    <sheet name="24-30" sheetId="7" r:id="rId8"/>
    <sheet name="31" sheetId="8" r:id="rId9"/>
    <sheet name="32-34" sheetId="9" r:id="rId10"/>
    <sheet name="35-39" sheetId="10" r:id="rId11"/>
    <sheet name="40" sheetId="11" r:id="rId12"/>
    <sheet name="41-44" sheetId="12" r:id="rId13"/>
  </sheets>
  <externalReferences>
    <externalReference r:id="rId16"/>
    <externalReference r:id="rId17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xlnm.Print_Area" localSheetId="1">'1-3'!$A$1:$E$17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<sst xmlns="http://schemas.openxmlformats.org/spreadsheetml/2006/main" count="912" uniqueCount="208">
  <si>
    <t>calidad ambiental</t>
  </si>
  <si>
    <t>CA=(-0,0036*I^2) -(0,00482*I) + 1</t>
  </si>
  <si>
    <t>0&lt;I&lt;10,9</t>
  </si>
  <si>
    <t>CA=(0,00103*I^2) -(0,0689*I) + 1,15</t>
  </si>
  <si>
    <t>10,9&lt;I&lt;32</t>
  </si>
  <si>
    <t>CA=0</t>
  </si>
  <si>
    <t>I&gt;32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</si>
  <si>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</si>
  <si>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</si>
  <si>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</si>
  <si>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</si>
  <si>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</si>
  <si>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</si>
  <si>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</si>
  <si>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</si>
  <si>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</si>
  <si>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</si>
  <si>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2 (T=0,25)</t>
  </si>
  <si>
    <t>Ponderación del nivel diario de inmisión de CO según la superficie de zonas homogéneas</t>
  </si>
  <si>
    <t>Ponderación del nivel diario de inmisión de CO según la población afectada en cada zona</t>
  </si>
  <si>
    <t>% de personas afectadas por los niveles de CO perjudiciales</t>
  </si>
  <si>
    <t>-</t>
  </si>
  <si>
    <t>CA= -0.01* I + 1</t>
  </si>
  <si>
    <t>0&lt;I&lt;100</t>
  </si>
  <si>
    <t>CA= -2,5E-0,5*I^2 - 2,21E-03 * I + 1</t>
  </si>
  <si>
    <t>0&lt;I&lt;104,5</t>
  </si>
  <si>
    <t>CA=1,51E-05*I^2-9,81E-03+1,36</t>
  </si>
  <si>
    <t>104,5&lt;I&lt;200</t>
  </si>
  <si>
    <t>Índice de calidad del aire (ICAIRE)</t>
  </si>
  <si>
    <t>CA=-7,5E-05*I^2+1,75E-02*I</t>
  </si>
  <si>
    <t>Índice ORAQI (Oak Ridge Air Quality Index)</t>
  </si>
  <si>
    <t>CA=(-0,0000966*I^2) -(0,00517*I) + 1</t>
  </si>
  <si>
    <t>0&lt;I&lt;50</t>
  </si>
  <si>
    <t>50&lt;I&lt;100</t>
  </si>
  <si>
    <t>CA=(0,0000912*I^2) -(0,0237*I) + 1,46</t>
  </si>
  <si>
    <t>Promedio diario de inmisión de CO</t>
  </si>
  <si>
    <t>Índice de caracterización de tratamientos (ICT)</t>
  </si>
  <si>
    <t>CA=-0,0139*I+1</t>
  </si>
  <si>
    <t>0&lt;I&lt;36</t>
  </si>
  <si>
    <t>36&lt;I&lt;131</t>
  </si>
  <si>
    <t>131&lt;I&lt;140</t>
  </si>
  <si>
    <t>CA=(-0,00526*I)+0,689</t>
  </si>
  <si>
    <t>32&lt;I&lt;34</t>
  </si>
  <si>
    <t>CA=(-1E-02I) + 1</t>
  </si>
  <si>
    <t>0&lt;I&lt;400</t>
  </si>
  <si>
    <t>400&lt;I&lt;600</t>
  </si>
  <si>
    <t>600&lt;I&lt;800</t>
  </si>
  <si>
    <t>%</t>
  </si>
  <si>
    <r>
      <t>CA=(2,3E-06*I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</si>
  <si>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r>
      <t>CA=(-2,3E-06*I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</si>
  <si>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t>0&lt;I&lt;0,2</t>
  </si>
  <si>
    <t>CA=1</t>
  </si>
  <si>
    <t>0&lt;I&lt;30</t>
  </si>
  <si>
    <t>0&lt;I&lt;35</t>
  </si>
  <si>
    <t>0&lt;I&lt;40</t>
  </si>
  <si>
    <t>0,2&lt;I&lt;0,34</t>
  </si>
  <si>
    <t>CA=-(2,22E-03*I^2) +(1,33E-01*I) - 1</t>
  </si>
  <si>
    <t>30&lt;I&lt;45</t>
  </si>
  <si>
    <t>CA=-(1,63E-03*I^2) +(1,14E-01*I) - 1</t>
  </si>
  <si>
    <t>35&lt;I&lt;52,5</t>
  </si>
  <si>
    <t>CA=-(8E-04*I^2) +(4,8E-02*I) +2,8E-01</t>
  </si>
  <si>
    <t>30&lt;I&lt;55</t>
  </si>
  <si>
    <t>CA=-(1,25E-03*I^2) +(1E-01*I) - 1</t>
  </si>
  <si>
    <t>40&lt;I&lt;60</t>
  </si>
  <si>
    <t>0,34&lt;I&lt;0,4</t>
  </si>
  <si>
    <t>CA= (2,22E-03*I^2)-(2,67E-01*I)+8</t>
  </si>
  <si>
    <t>45&lt;I&lt;56</t>
  </si>
  <si>
    <t>CA= (1,63E-03*I^2)-(2,29E-01*I)+8</t>
  </si>
  <si>
    <t>52,5&lt;I&lt;65</t>
  </si>
  <si>
    <t>CA= (8E-04*I^2)-(1,28E-01*I)+ 5,12</t>
  </si>
  <si>
    <t>55&lt;I&lt;80</t>
  </si>
  <si>
    <t>CA= (1,25E-03*I^2)-(2E-01*I)+8</t>
  </si>
  <si>
    <t>60&lt;I&lt;80</t>
  </si>
  <si>
    <t>ppm</t>
  </si>
  <si>
    <t>dB</t>
  </si>
  <si>
    <t>CA=(27*I^2) -(18,11*I) + 3,15</t>
  </si>
  <si>
    <t>CA=0,1</t>
  </si>
  <si>
    <t>CA=(-11*I^2) +(0,2*I) + 1</t>
  </si>
  <si>
    <r>
      <t>% porcentaje de personas aceptadas por niveles de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</si>
  <si>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(3,05E-03*I) + 0,702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</si>
  <si>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(1,87E-03*I) + 1,702</t>
    </r>
  </si>
  <si>
    <r>
      <t>% porcentaje de personas aceptadas por niveles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</si>
  <si>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t>0 - 0,4</t>
  </si>
  <si>
    <t>0 - 56</t>
  </si>
  <si>
    <t>0 - 65</t>
  </si>
  <si>
    <t>0 - 80</t>
  </si>
  <si>
    <t>0 - 100</t>
  </si>
  <si>
    <t>0 - 800</t>
  </si>
  <si>
    <t>0 -100</t>
  </si>
  <si>
    <t>0 - 34</t>
  </si>
  <si>
    <t>0 - 140</t>
  </si>
  <si>
    <t>0 - 200</t>
  </si>
  <si>
    <r>
      <t>mg m</t>
    </r>
    <r>
      <rPr>
        <vertAlign val="superscript"/>
        <sz val="8"/>
        <rFont val="Arial"/>
        <family val="2"/>
      </rPr>
      <t>-3</t>
    </r>
  </si>
  <si>
    <r>
      <t>m</t>
    </r>
    <r>
      <rPr>
        <sz val="8"/>
        <rFont val="Arial"/>
        <family val="2"/>
      </rPr>
      <t>g m</t>
    </r>
    <r>
      <rPr>
        <vertAlign val="superscript"/>
        <sz val="8"/>
        <rFont val="Arial"/>
        <family val="2"/>
      </rPr>
      <t>-3</t>
    </r>
  </si>
  <si>
    <r>
      <t>Promedio diario de inmisión de NO</t>
    </r>
    <r>
      <rPr>
        <vertAlign val="subscript"/>
        <sz val="8"/>
        <rFont val="Arial"/>
        <family val="2"/>
      </rPr>
      <t>x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</si>
  <si>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</si>
  <si>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población afectada en cada zona</t>
    </r>
  </si>
  <si>
    <t>% de personas afectadas por niveles sonoros diurnos perjudiciales</t>
  </si>
  <si>
    <t>CA= (-1E-02*I)+1</t>
  </si>
  <si>
    <t>Leq dB(A)</t>
  </si>
  <si>
    <t>60&lt;I&lt;90</t>
  </si>
  <si>
    <t>CA=(5,56E-04*I^2)-(1E-01*I) +4,5</t>
  </si>
  <si>
    <t>30&lt;I&lt;60</t>
  </si>
  <si>
    <t>CA=(-5,56E-04*I^2)+(3,33E-02*I) + 5E-01</t>
  </si>
  <si>
    <t>Media ponderada del nivel equivalente diurno, ponderado por el nº de personas afectadas</t>
  </si>
  <si>
    <t>CA= +1</t>
  </si>
  <si>
    <t>CA=(-5,56E-04*I^2)+(3,33E-02*I) +5E-01</t>
  </si>
  <si>
    <t>Media ponderada del nivel equivalente diurno, ponderado según la superficie de zonas homogéneas</t>
  </si>
  <si>
    <t>Nivel sonoro equivalente nocturno en una zona residencial</t>
  </si>
  <si>
    <t>CA=+1</t>
  </si>
  <si>
    <t>CA=(2,22E-0,3*I^2) -(2,67E-01*I) +8</t>
  </si>
  <si>
    <t>CA=(-2,22E-0,3*I^2) +(1,33E-01*I) -1</t>
  </si>
  <si>
    <t>Nivel sonoro equivalente nocturno en una zona comercial</t>
  </si>
  <si>
    <t>CA=(-2,22E-0,3*I^2) +(1,56E-01*I) -1,72</t>
  </si>
  <si>
    <t>CA=(2,22E-0,3*I^2) -(2,89E-01*I) +3,39</t>
  </si>
  <si>
    <t>35&lt;I&lt;50</t>
  </si>
  <si>
    <t>50&lt;I&lt;62</t>
  </si>
  <si>
    <t>Nivel sonoro equivalente nocturno en una zona industrial</t>
  </si>
  <si>
    <t>CA=(-1,63E-0,3*I^2) +(1,14E-01*I) -1</t>
  </si>
  <si>
    <t>CA=(1,63E-0,3*I^2) -(2,29E-01*I) +8</t>
  </si>
  <si>
    <t>Media ponderada del nivel equivalente nocturno, ponderado por la superficie de zonas homogéneas</t>
  </si>
  <si>
    <t>30&lt;I&lt;57,5</t>
  </si>
  <si>
    <t>57,5&lt;I&lt;85</t>
  </si>
  <si>
    <t>Nivel sonoro equivalente nocturno en una zona hospitalaria o escolar</t>
  </si>
  <si>
    <t>0&lt;I&lt;25</t>
  </si>
  <si>
    <t>CA=(-3,2E-03*I^2)+(1,6E-01*I) -1</t>
  </si>
  <si>
    <t>25&lt;I&lt;37,5</t>
  </si>
  <si>
    <t>CA=(3,2E-0*I^2)-(3,2E-01*I) +8</t>
  </si>
  <si>
    <t>37,5&lt;I&lt;50</t>
  </si>
  <si>
    <t>Media ponderada del nivel equivalente nocturno, ponderado según el nº de personas afectadas</t>
  </si>
  <si>
    <t>CA=(-6,61E-04*I^2) +(3,97E-02*I) +4,05E-01</t>
  </si>
  <si>
    <t>CA=(6,61E-04*I^2) -(1,12E-01*I) +4,78</t>
  </si>
  <si>
    <t>% de personas afectadas por niveles sonoros nocturno perjudiciales.</t>
  </si>
  <si>
    <t>CA= (-1E-02*i)+1</t>
  </si>
  <si>
    <t>0 - 90</t>
  </si>
  <si>
    <t>0 - 50</t>
  </si>
  <si>
    <t>0 - 62</t>
  </si>
  <si>
    <t>0 - 85</t>
  </si>
  <si>
    <t>% de vegetación afectada negativamente por lavariación del spray marino</t>
  </si>
  <si>
    <t>− 100  &lt; I &lt;  −50</t>
  </si>
  <si>
    <t>− 50 &lt; I &lt;  0</t>
  </si>
  <si>
    <t>0&lt;I&lt;1</t>
  </si>
  <si>
    <t>Promedio diario de la concentración de polvo y partículas en suspensión</t>
  </si>
  <si>
    <t>0  &lt; I &lt;  60</t>
  </si>
  <si>
    <t>60 &lt; I &lt;  600</t>
  </si>
  <si>
    <t xml:space="preserve">Ponderación del nivel  diario de la concentración de polvo y partículas en suspensión según superficie de zonas homogeneas </t>
  </si>
  <si>
    <t xml:space="preserve">Ponderación del nivel  diario de la concentración de polvo y partículas en suspensión según población afectada de la zona </t>
  </si>
  <si>
    <t>% de personas afectadas por concentraciones perjudiciales de polvo y partículas en suspensión.</t>
  </si>
  <si>
    <t>Deposición de polvo por unidad de superficie.</t>
  </si>
  <si>
    <t>0&lt;I&lt;2,5</t>
  </si>
  <si>
    <t>2,5&lt;I&lt;9</t>
  </si>
  <si>
    <t>9&lt;I&lt;10</t>
  </si>
  <si>
    <t>Indicador semicualitativo del olor del aire.</t>
  </si>
  <si>
    <t>0&lt;I&lt;2</t>
  </si>
  <si>
    <t>2&lt;I&lt;4</t>
  </si>
  <si>
    <t>4&lt;I&lt;6</t>
  </si>
  <si>
    <r>
      <t>g m</t>
    </r>
    <r>
      <rPr>
        <vertAlign val="superscript"/>
        <sz val="9"/>
        <rFont val="Arial"/>
        <family val="2"/>
      </rPr>
      <t>-2</t>
    </r>
    <r>
      <rPr>
        <sz val="8"/>
        <rFont val="Arial"/>
        <family val="2"/>
      </rPr>
      <t xml:space="preserve"> día</t>
    </r>
    <r>
      <rPr>
        <vertAlign val="superscript"/>
        <sz val="9"/>
        <rFont val="Arial"/>
        <family val="2"/>
      </rPr>
      <t>-1</t>
    </r>
  </si>
  <si>
    <t>promedio diario del nivel de inmisión de Pb</t>
  </si>
  <si>
    <t>0&lt;I&lt;0,667</t>
  </si>
  <si>
    <t>0,667&lt;I&lt;1,33</t>
  </si>
  <si>
    <t>1,33&lt;I&lt;2</t>
  </si>
  <si>
    <t>CA=-0,606*I+1,21</t>
  </si>
  <si>
    <t>ponderación del nivel diario de inmisión de Pb según la superficie de zonas homogéneas</t>
  </si>
  <si>
    <t>ponderación del nivel diario de inmisión de Pb según la población afectada en cada zona</t>
  </si>
  <si>
    <t>% de personas afectadas por niveles de Pb perjudiciales</t>
  </si>
  <si>
    <t>CA=-1E-02*I+1</t>
  </si>
  <si>
    <t xml:space="preserve"> -100  -  100</t>
  </si>
  <si>
    <t xml:space="preserve"> 0 - 1</t>
  </si>
  <si>
    <t>0 - 600</t>
  </si>
  <si>
    <t>0 - 10</t>
  </si>
  <si>
    <t>0 - 6</t>
  </si>
  <si>
    <t>0 - 2</t>
  </si>
  <si>
    <t>1 (T=0)</t>
  </si>
  <si>
    <r>
      <t>Promedio diario del nivel de inmisión de SO</t>
    </r>
    <r>
      <rPr>
        <vertAlign val="subscript"/>
        <sz val="8"/>
        <rFont val="Arial"/>
        <family val="2"/>
      </rPr>
      <t>2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</si>
  <si>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</si>
  <si>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población afectada en cada zona</t>
    </r>
  </si>
  <si>
    <t>Concentración de hidrocarburos promedio durante 3 horas</t>
  </si>
  <si>
    <t>Nivel sonoro equivalente diurno en una zona hospitalaria o escolar</t>
  </si>
  <si>
    <t>Nivel sonoro equivalente diurno en una zona  residencial</t>
  </si>
  <si>
    <t>Nivel sonoro equivalente diurno en una zona comercial</t>
  </si>
  <si>
    <t>Nivel sonoro equivalente diurno en una zona industrial</t>
  </si>
  <si>
    <t>3 (T=0,50)</t>
  </si>
  <si>
    <t>CA= 1,8E-02*I+1,8</t>
  </si>
  <si>
    <t>CA= 2E-0,3*I+1</t>
  </si>
  <si>
    <t>CA= -1E-02*I+1</t>
  </si>
  <si>
    <t>CA=-4E-01*(I^2)+1,4*I</t>
  </si>
  <si>
    <t>CA=-2,89E-01*(I^2)+1,19*I</t>
  </si>
  <si>
    <t>CA=-2E-01*(I^2)+4E-01*I</t>
  </si>
  <si>
    <t>CA= 6,94E-5*(I^2)-1,25E-02*I+1</t>
  </si>
  <si>
    <t>CA= 1,54E-06*(I^2)-1,94E-03*I+6,1E-01</t>
  </si>
  <si>
    <t>CA=-1,18E-0,2*(I^2)+5,92E-02*I+9,2E-01</t>
  </si>
  <si>
    <t xml:space="preserve">CA=-5,56E-0,2*(I^2)+5,56E-01*I </t>
  </si>
  <si>
    <t>CA=-0,375E-0,1*I+1,75</t>
  </si>
  <si>
    <t>CA=-0,125E-0,1*I+0,75</t>
  </si>
  <si>
    <t>CA=-0,446*(I^2)+1</t>
  </si>
  <si>
    <t>CA=0,337*(I^2)-1,35*I+1,6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</si>
  <si>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</si>
  <si>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</si>
  <si>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</si>
  <si>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</si>
  <si>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</si>
  <si>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</si>
  <si>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</si>
  <si>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</si>
  <si>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</si>
  <si>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Calidad perceptible del aire según su olor y visibilidad (inicialmente olor agradable)</t>
  </si>
  <si>
    <t>Calidad perceptible del aire según su olor y visibilidad (inicialmente sin olor)</t>
  </si>
  <si>
    <t>Calidad perceptible del aire según su olor y visibilidad (inicialmente olor desagradable)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</si>
</sst>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_-* #,##0.00\ [$€]_-;\-* #,##0.00\ [$€]_-;_-* &quot;-&quot;??\ [$€]_-;_-@_-"/>
  </numFmts>
  <fonts count="26">
    <font>
      <sz val="8"/>
      <name val="Arial"/>
      <family val="2"/>
    </font>
    <font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9"/>
      <name val="Arial"/>
      <family val="2"/>
    </font>
    <font>
      <sz val="8.25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8.5"/>
      <color rgb="FF000000"/>
      <name val="Arial"/>
      <family val="2"/>
    </font>
    <font>
      <sz val="3"/>
      <color rgb="FF000000"/>
      <name val="Arial"/>
      <family val="2"/>
    </font>
    <font>
      <sz val="1"/>
      <color rgb="FF000000"/>
      <name val="Arial"/>
      <family val="2"/>
    </font>
    <font>
      <sz val="2.25"/>
      <color rgb="FF000000"/>
      <name val="Arial"/>
      <family val="2"/>
    </font>
    <font>
      <sz val="9"/>
      <color rgb="FF000000"/>
      <name val="Arial"/>
      <family val="2"/>
    </font>
    <font>
      <sz val="3.25"/>
      <color rgb="FF000000"/>
      <name val="Arial"/>
      <family val="2"/>
    </font>
    <font>
      <sz val="2.5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bscript"/>
      <sz val="8"/>
      <color rgb="FF000000"/>
      <name val="Arial"/>
      <family val="2"/>
    </font>
    <font>
      <sz val="8"/>
      <color rgb="FF000000"/>
      <name val="Symbo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vertAlign val="subscript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 style="dotted"/>
      <top style="thick"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 style="dotted"/>
      <right style="medium"/>
      <top style="thin"/>
      <bottom style="thin"/>
    </border>
    <border>
      <left style="thick"/>
      <right style="dotted"/>
      <top style="thin"/>
      <bottom style="medium"/>
    </border>
    <border>
      <left style="thick"/>
      <right/>
      <top/>
      <bottom/>
    </border>
    <border>
      <left style="dotted"/>
      <right style="medium"/>
      <top style="thin"/>
      <bottom style="thick"/>
    </border>
    <border>
      <left style="thick"/>
      <right/>
      <top/>
      <bottom style="thick"/>
    </border>
    <border>
      <left style="thick"/>
      <right style="dotted"/>
      <top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dotted"/>
      <right style="thick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</borders>
  <cellStyleXfs count="2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64" fontId="0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 wrapText="1"/>
    </xf>
    <xf numFmtId="164" fontId="0" fillId="5" borderId="31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2" borderId="31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0" fillId="2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horizontal="center" vertical="center" wrapText="1"/>
    </xf>
    <xf numFmtId="164" fontId="0" fillId="3" borderId="35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164" fontId="0" fillId="3" borderId="38" xfId="0" applyNumberFormat="1" applyFont="1" applyFill="1" applyBorder="1" applyAlignment="1">
      <alignment horizontal="center" vertical="center" wrapText="1"/>
    </xf>
    <xf numFmtId="164" fontId="0" fillId="5" borderId="35" xfId="0" applyNumberFormat="1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vertical="center" wrapText="1"/>
    </xf>
    <xf numFmtId="0" fontId="0" fillId="6" borderId="29" xfId="0" applyFont="1" applyFill="1" applyBorder="1" applyAlignment="1">
      <alignment vertical="center" wrapText="1"/>
    </xf>
    <xf numFmtId="0" fontId="0" fillId="6" borderId="39" xfId="0" applyFont="1" applyFill="1" applyBorder="1" applyAlignment="1">
      <alignment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5" borderId="21" xfId="0" applyNumberFormat="1" applyFont="1" applyFill="1" applyBorder="1" applyAlignment="1">
      <alignment horizontal="center" vertical="center" wrapText="1"/>
    </xf>
    <xf numFmtId="2" fontId="0" fillId="5" borderId="22" xfId="0" applyNumberFormat="1" applyFont="1" applyFill="1" applyBorder="1" applyAlignment="1">
      <alignment horizontal="center" vertical="center" wrapText="1"/>
    </xf>
    <xf numFmtId="2" fontId="0" fillId="5" borderId="40" xfId="0" applyNumberFormat="1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64" fontId="0" fillId="2" borderId="41" xfId="0" applyNumberFormat="1" applyFont="1" applyFill="1" applyBorder="1" applyAlignment="1">
      <alignment horizontal="center" vertical="center" wrapText="1"/>
    </xf>
    <xf numFmtId="164" fontId="0" fillId="3" borderId="41" xfId="0" applyNumberFormat="1" applyFont="1" applyFill="1" applyBorder="1" applyAlignment="1">
      <alignment horizontal="center" vertical="center" wrapText="1"/>
    </xf>
    <xf numFmtId="164" fontId="0" fillId="3" borderId="42" xfId="0" applyNumberFormat="1" applyFont="1" applyFill="1" applyBorder="1" applyAlignment="1">
      <alignment horizontal="center" vertical="center" wrapText="1"/>
    </xf>
    <xf numFmtId="164" fontId="0" fillId="5" borderId="38" xfId="0" applyNumberFormat="1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1" fontId="0" fillId="2" borderId="21" xfId="0" applyNumberFormat="1" applyFont="1" applyFill="1" applyBorder="1" applyAlignment="1">
      <alignment horizontal="center" vertical="center" wrapText="1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3" borderId="22" xfId="0" applyNumberFormat="1" applyFont="1" applyFill="1" applyBorder="1" applyAlignment="1">
      <alignment horizontal="center" vertical="center" wrapText="1"/>
    </xf>
    <xf numFmtId="1" fontId="0" fillId="3" borderId="21" xfId="0" applyNumberFormat="1" applyFont="1" applyFill="1" applyBorder="1" applyAlignment="1">
      <alignment horizontal="center" vertical="center" wrapText="1"/>
    </xf>
    <xf numFmtId="1" fontId="0" fillId="5" borderId="22" xfId="0" applyNumberFormat="1" applyFont="1" applyFill="1" applyBorder="1" applyAlignment="1">
      <alignment horizontal="center" vertical="center" wrapText="1"/>
    </xf>
    <xf numFmtId="1" fontId="0" fillId="5" borderId="21" xfId="0" applyNumberFormat="1" applyFont="1" applyFill="1" applyBorder="1" applyAlignment="1">
      <alignment horizontal="center" vertical="center" wrapText="1"/>
    </xf>
    <xf numFmtId="1" fontId="0" fillId="5" borderId="30" xfId="0" applyNumberFormat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5" fontId="0" fillId="2" borderId="21" xfId="0" applyNumberFormat="1" applyFont="1" applyFill="1" applyBorder="1" applyAlignment="1">
      <alignment horizontal="center" vertical="center" wrapText="1"/>
    </xf>
    <xf numFmtId="165" fontId="0" fillId="2" borderId="22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65" fontId="0" fillId="5" borderId="22" xfId="0" applyNumberFormat="1" applyFont="1" applyFill="1" applyBorder="1" applyAlignment="1">
      <alignment horizontal="center" vertical="center" wrapText="1"/>
    </xf>
    <xf numFmtId="165" fontId="0" fillId="5" borderId="30" xfId="0" applyNumberFormat="1" applyFont="1" applyFill="1" applyBorder="1" applyAlignment="1">
      <alignment horizontal="center" vertical="center" wrapText="1"/>
    </xf>
    <xf numFmtId="164" fontId="0" fillId="2" borderId="44" xfId="0" applyNumberFormat="1" applyFont="1" applyFill="1" applyBorder="1" applyAlignment="1">
      <alignment horizontal="center" vertical="center" wrapText="1"/>
    </xf>
    <xf numFmtId="164" fontId="0" fillId="3" borderId="44" xfId="0" applyNumberFormat="1" applyFont="1" applyFill="1" applyBorder="1" applyAlignment="1">
      <alignment horizontal="center" vertical="center" wrapText="1"/>
    </xf>
    <xf numFmtId="164" fontId="0" fillId="5" borderId="44" xfId="0" applyNumberFormat="1" applyFont="1" applyFill="1" applyBorder="1" applyAlignment="1">
      <alignment horizontal="center" vertical="center" wrapText="1"/>
    </xf>
    <xf numFmtId="164" fontId="0" fillId="5" borderId="45" xfId="0" applyNumberFormat="1" applyFont="1" applyFill="1" applyBorder="1" applyAlignment="1">
      <alignment horizontal="center" vertical="center" wrapText="1"/>
    </xf>
    <xf numFmtId="2" fontId="0" fillId="2" borderId="30" xfId="0" applyNumberFormat="1" applyFont="1" applyFill="1" applyBorder="1" applyAlignment="1">
      <alignment horizontal="center" vertical="center" wrapText="1"/>
    </xf>
    <xf numFmtId="164" fontId="0" fillId="2" borderId="38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21">
      <alignment/>
      <protection/>
    </xf>
    <xf numFmtId="0" fontId="2" fillId="4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39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'1-3'!$A$8:$A$28</c:f>
              <c:numCache/>
            </c:numRef>
          </c:xVal>
          <c:yVal>
            <c:numRef>
              <c:f>'1-3'!$B$8:$B$28</c:f>
              <c:numCache/>
            </c:numRef>
          </c:yVal>
          <c:smooth val="0"/>
        </c:ser>
        <c:axId val="37552358"/>
        <c:axId val="2426903"/>
      </c:scatterChart>
      <c:valAx>
        <c:axId val="375523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ICAIRE</a:t>
                </a:r>
              </a:p>
            </c:rich>
          </c:tx>
          <c:layout>
            <c:manualLayout>
              <c:xMode val="edge"/>
              <c:yMode val="edge"/>
              <c:x val="0.480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903"/>
        <c:crosses val="autoZero"/>
        <c:crossBetween val="midCat"/>
        <c:dispUnits/>
      </c:valAx>
      <c:valAx>
        <c:axId val="24269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'8-11'!$A$73:$A$97</c:f>
              <c:numCache/>
            </c:numRef>
          </c:xVal>
          <c:yVal>
            <c:numRef>
              <c:f>'8-11'!$B$73:$B$97</c:f>
              <c:numCache/>
            </c:numRef>
          </c:yVal>
          <c:smooth val="0"/>
        </c:ser>
        <c:axId val="3659936"/>
        <c:axId val="32939425"/>
      </c:scatterChart>
      <c:valAx>
        <c:axId val="365993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39425"/>
        <c:crosses val="autoZero"/>
        <c:crossBetween val="midCat"/>
        <c:dispUnits/>
      </c:valAx>
      <c:valAx>
        <c:axId val="329394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993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'8-11'!$A$107:$A$123</c:f>
              <c:numCache/>
            </c:numRef>
          </c:xVal>
          <c:yVal>
            <c:numRef>
              <c:f>'8-11'!$B$107:$B$123</c:f>
              <c:numCache/>
            </c:numRef>
          </c:yVal>
          <c:smooth val="0"/>
        </c:ser>
        <c:axId val="28019370"/>
        <c:axId val="50847739"/>
      </c:scatterChart>
      <c:valAx>
        <c:axId val="280193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47739"/>
        <c:crosses val="autoZero"/>
        <c:crossBetween val="midCat"/>
        <c:dispUnits/>
      </c:valAx>
      <c:valAx>
        <c:axId val="508477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1937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Ind8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4976468"/>
        <c:axId val="25026165"/>
      </c:scatterChart>
      <c:valAx>
        <c:axId val="5497646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65"/>
        <c:crosses val="autoZero"/>
        <c:crossBetween val="midCat"/>
        <c:dispUnits/>
      </c:valAx>
      <c:valAx>
        <c:axId val="250261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Ind9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3908894"/>
        <c:axId val="13853455"/>
      </c:scatterChart>
      <c:valAx>
        <c:axId val="2390889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 val="autoZero"/>
        <c:crossBetween val="midCat"/>
        <c:dispUnits/>
      </c:valAx>
      <c:valAx>
        <c:axId val="138534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Ind10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7572232"/>
        <c:axId val="48388041"/>
      </c:scatterChart>
      <c:valAx>
        <c:axId val="5757223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8041"/>
        <c:crosses val="autoZero"/>
        <c:crossBetween val="midCat"/>
        <c:dispUnits/>
      </c:valAx>
      <c:valAx>
        <c:axId val="483880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42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'8-11'!$A$8:$A$29</c:f>
              <c:numCache/>
            </c:numRef>
          </c:xVal>
          <c:yVal>
            <c:numRef>
              <c:f>'8-11'!$B$8:$B$29</c:f>
              <c:numCache/>
            </c:numRef>
          </c:yVal>
          <c:smooth val="0"/>
        </c:ser>
        <c:axId val="32839186"/>
        <c:axId val="27117219"/>
      </c:scatterChart>
      <c:valAx>
        <c:axId val="3283918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219"/>
        <c:crosses val="autoZero"/>
        <c:crossBetween val="midCat"/>
        <c:dispUnits/>
      </c:valAx>
      <c:valAx>
        <c:axId val="271172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'8-11'!$A$39:$A$63</c:f>
              <c:numCache/>
            </c:numRef>
          </c:xVal>
          <c:yVal>
            <c:numRef>
              <c:f>'8-11'!$B$39:$B$63</c:f>
              <c:numCache/>
            </c:numRef>
          </c:yVal>
          <c:smooth val="0"/>
        </c:ser>
        <c:axId val="42728380"/>
        <c:axId val="49011101"/>
      </c:scatterChart>
      <c:valAx>
        <c:axId val="4272838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011101"/>
        <c:crosses val="autoZero"/>
        <c:crossBetween val="midCat"/>
        <c:dispUnits/>
      </c:valAx>
      <c:valAx>
        <c:axId val="490111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2838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9"/>
          <c:y val="0.06775"/>
          <c:w val="0.834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'12-15'!$A$8:$A$29</c:f>
              <c:numCache/>
            </c:numRef>
          </c:xVal>
          <c:yVal>
            <c:numRef>
              <c:f>'12-15'!$B$8:$B$29</c:f>
              <c:numCache/>
            </c:numRef>
          </c:yVal>
          <c:smooth val="0"/>
        </c:ser>
        <c:axId val="38446726"/>
        <c:axId val="10476215"/>
      </c:scatterChart>
      <c:valAx>
        <c:axId val="38446726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476215"/>
        <c:crosses val="autoZero"/>
        <c:crossBetween val="midCat"/>
        <c:dispUnits/>
      </c:valAx>
      <c:valAx>
        <c:axId val="104762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4672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75"/>
          <c:y val="0.07275"/>
          <c:w val="0.82925"/>
          <c:h val="0.66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'12-15'!$A$39:$A$63</c:f>
              <c:numCache/>
            </c:numRef>
          </c:xVal>
          <c:yVal>
            <c:numRef>
              <c:f>'12-15'!$B$39:$B$63</c:f>
              <c:numCache/>
            </c:numRef>
          </c:yVal>
          <c:smooth val="0"/>
        </c:ser>
        <c:axId val="27177072"/>
        <c:axId val="43267057"/>
      </c:scatterChart>
      <c:valAx>
        <c:axId val="27177072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crossBetween val="midCat"/>
        <c:dispUnits/>
      </c:valAx>
      <c:valAx>
        <c:axId val="432670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25"/>
          <c:y val="0.0685"/>
          <c:w val="0.841"/>
          <c:h val="0.6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'12-15'!$A$73:$A$96</c:f>
              <c:numCache/>
            </c:numRef>
          </c:xVal>
          <c:yVal>
            <c:numRef>
              <c:f>'12-15'!$B$73:$B$96</c:f>
              <c:numCache/>
            </c:numRef>
          </c:yVal>
          <c:smooth val="0"/>
        </c:ser>
        <c:axId val="53859194"/>
        <c:axId val="14970699"/>
      </c:scatterChart>
      <c:valAx>
        <c:axId val="53859194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70699"/>
        <c:crosses val="autoZero"/>
        <c:crossBetween val="midCat"/>
        <c:dispUnits/>
      </c:valAx>
      <c:valAx>
        <c:axId val="149706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2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85919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415"/>
          <c:h val="0.69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'1-3'!$A$51:$A$71</c:f>
              <c:numCache/>
            </c:numRef>
          </c:xVal>
          <c:yVal>
            <c:numRef>
              <c:f>'1-3'!$B$51:$B$71</c:f>
              <c:numCache/>
            </c:numRef>
          </c:yVal>
          <c:smooth val="0"/>
        </c:ser>
        <c:axId val="21842128"/>
        <c:axId val="62361425"/>
      </c:scatterChart>
      <c:valAx>
        <c:axId val="2184212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ORAQI</a:t>
                </a:r>
              </a:p>
            </c:rich>
          </c:tx>
          <c:layout>
            <c:manualLayout>
              <c:xMode val="edge"/>
              <c:yMode val="edge"/>
              <c:x val="0.49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61425"/>
        <c:crosses val="autoZero"/>
        <c:crossBetween val="midCat"/>
        <c:dispUnits/>
      </c:valAx>
      <c:valAx>
        <c:axId val="623614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84212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825"/>
          <c:w val="0.8417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'12-15'!$A$106:$A$122</c:f>
              <c:numCache/>
            </c:numRef>
          </c:xVal>
          <c:yVal>
            <c:numRef>
              <c:f>'12-15'!$B$106:$B$122</c:f>
              <c:numCache/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67077"/>
        <c:crosses val="autoZero"/>
        <c:crossBetween val="midCat"/>
        <c:dispUnits/>
      </c:valAx>
      <c:valAx>
        <c:axId val="46670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856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625"/>
          <c:y val="0.06775"/>
          <c:w val="0.822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'16'!$A$8:$A$24</c:f>
              <c:numCache/>
            </c:numRef>
          </c:xVal>
          <c:yVal>
            <c:numRef>
              <c:f>'16'!$B$8:$B$24</c:f>
              <c:numCache/>
            </c:numRef>
          </c:yVal>
          <c:smooth val="0"/>
        </c:ser>
        <c:axId val="42003694"/>
        <c:axId val="42488927"/>
      </c:scatterChart>
      <c:valAx>
        <c:axId val="42003694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edge"/>
              <c:yMode val="edge"/>
              <c:x val="0.524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88927"/>
        <c:crosses val="autoZero"/>
        <c:crossBetween val="midCat"/>
        <c:dispUnits/>
      </c:valAx>
      <c:valAx>
        <c:axId val="424889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19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0369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"/>
          <c:w val="0.834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'17-23'!$A$8:$A$27</c:f>
              <c:numCache/>
            </c:numRef>
          </c:xVal>
          <c:yVal>
            <c:numRef>
              <c:f>'17-23'!$B$8:$B$27</c:f>
              <c:numCache/>
            </c:numRef>
          </c:yVal>
          <c:smooth val="0"/>
        </c:ser>
        <c:axId val="46856024"/>
        <c:axId val="19051033"/>
      </c:scatterChart>
      <c:valAx>
        <c:axId val="46856024"/>
        <c:scaling>
          <c:orientation val="minMax"/>
          <c:max val="5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135"/>
              <c:y val="0.88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1033"/>
        <c:crosses val="autoZero"/>
        <c:crossBetween val="midCat"/>
        <c:dispUnits/>
      </c:valAx>
      <c:valAx>
        <c:axId val="1905103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0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602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5"/>
          <c:w val="0.8345"/>
          <c:h val="0.69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'17-23'!$A$36:$A$55</c:f>
              <c:numCache/>
            </c:numRef>
          </c:xVal>
          <c:yVal>
            <c:numRef>
              <c:f>'17-23'!$B$36:$B$55</c:f>
              <c:numCache/>
            </c:numRef>
          </c:yVal>
          <c:smooth val="1"/>
        </c:ser>
        <c:axId val="37241570"/>
        <c:axId val="66738675"/>
      </c:scatterChart>
      <c:valAx>
        <c:axId val="3724157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crossBetween val="midCat"/>
        <c:dispUnits/>
      </c:valAx>
      <c:valAx>
        <c:axId val="667386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5"/>
          <c:y val="0.0725"/>
          <c:w val="0.837"/>
          <c:h val="0.67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'17-23'!$A$65:$A$84</c:f>
              <c:numCache/>
            </c:numRef>
          </c:xVal>
          <c:yVal>
            <c:numRef>
              <c:f>'17-23'!$B$65:$B$84</c:f>
              <c:numCache/>
            </c:numRef>
          </c:yVal>
          <c:smooth val="1"/>
        </c:ser>
        <c:axId val="63777164"/>
        <c:axId val="37123565"/>
      </c:scatterChart>
      <c:valAx>
        <c:axId val="6377716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28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3565"/>
        <c:crosses val="autoZero"/>
        <c:crossBetween val="midCat"/>
        <c:dispUnits/>
      </c:valAx>
      <c:valAx>
        <c:axId val="371235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76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4675"/>
          <c:h val="0.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'17-23'!$A$94:$A$113</c:f>
              <c:numCache/>
            </c:numRef>
          </c:xVal>
          <c:yVal>
            <c:numRef>
              <c:f>'17-23'!$B$94:$B$113</c:f>
              <c:numCache/>
            </c:numRef>
          </c:yVal>
          <c:smooth val="1"/>
        </c:ser>
        <c:axId val="65676630"/>
        <c:axId val="54218759"/>
      </c:scatterChart>
      <c:valAx>
        <c:axId val="6567663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1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18759"/>
        <c:crosses val="autoZero"/>
        <c:crossBetween val="midCat"/>
        <c:dispUnits/>
      </c:valAx>
      <c:valAx>
        <c:axId val="542187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67663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25"/>
          <c:y val="0.06825"/>
          <c:w val="0.851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'17-23'!$A$123:$A$145</c:f>
              <c:numCache/>
            </c:numRef>
          </c:xVal>
          <c:yVal>
            <c:numRef>
              <c:f>'17-23'!$B$123:$B$145</c:f>
              <c:numCache/>
            </c:numRef>
          </c:yVal>
          <c:smooth val="0"/>
        </c:ser>
        <c:axId val="18206784"/>
        <c:axId val="29643329"/>
      </c:scatterChart>
      <c:valAx>
        <c:axId val="1820678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3329"/>
        <c:crosses val="autoZero"/>
        <c:crossBetween val="midCat"/>
        <c:dispUnits/>
        <c:majorUnit val="10"/>
      </c:valAx>
      <c:valAx>
        <c:axId val="296433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4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'17-23'!$A$155:$A$174</c:f>
              <c:numCache/>
            </c:numRef>
          </c:xVal>
          <c:yVal>
            <c:numRef>
              <c:f>'17-23'!$B$155:$B$174</c:f>
              <c:numCache/>
            </c:numRef>
          </c:yVal>
          <c:smooth val="0"/>
        </c:ser>
        <c:axId val="65463370"/>
        <c:axId val="52299419"/>
      </c:scatterChart>
      <c:valAx>
        <c:axId val="6546337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299419"/>
        <c:crosses val="autoZero"/>
        <c:crossBetween val="midCat"/>
        <c:dispUnits/>
        <c:majorUnit val="10"/>
      </c:valAx>
      <c:valAx>
        <c:axId val="522994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46337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67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'17-23'!$A$184:$A$202</c:f>
              <c:numCache/>
            </c:numRef>
          </c:xVal>
          <c:yVal>
            <c:numRef>
              <c:f>'17-23'!$B$184:$B$202</c:f>
              <c:numCache/>
            </c:numRef>
          </c:yVal>
          <c:smooth val="0"/>
        </c:ser>
        <c:axId val="932724"/>
        <c:axId val="8394517"/>
      </c:scatterChart>
      <c:valAx>
        <c:axId val="9327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49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94517"/>
        <c:crosses val="autoZero"/>
        <c:crossBetween val="midCat"/>
        <c:dispUnits/>
        <c:majorUnit val="10"/>
      </c:valAx>
      <c:valAx>
        <c:axId val="83945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3272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"/>
          <c:y val="0.0685"/>
          <c:w val="0.87075"/>
          <c:h val="0.73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'24-30'!$A$8:$A$27</c:f>
              <c:numCache/>
            </c:numRef>
          </c:xVal>
          <c:yVal>
            <c:numRef>
              <c:f>'24-30'!$B$8:$B$27</c:f>
              <c:numCache/>
            </c:numRef>
          </c:yVal>
          <c:smooth val="0"/>
        </c:ser>
        <c:axId val="8441790"/>
        <c:axId val="8867247"/>
      </c:scatterChart>
      <c:valAx>
        <c:axId val="844179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19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67247"/>
        <c:crosses val="autoZero"/>
        <c:crossBetween val="midCat"/>
        <c:dispUnits/>
      </c:valAx>
      <c:valAx>
        <c:axId val="88672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1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4179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'1-3'!$A$81:$A$109</c:f>
              <c:numCache/>
            </c:numRef>
          </c:xVal>
          <c:yVal>
            <c:numRef>
              <c:f>'1-3'!$B$81:$B$109</c:f>
              <c:numCache/>
            </c:numRef>
          </c:yVal>
          <c:smooth val="0"/>
        </c:ser>
        <c:axId val="24381914"/>
        <c:axId val="18110635"/>
      </c:scatterChart>
      <c:valAx>
        <c:axId val="2438191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110635"/>
        <c:crosses val="autoZero"/>
        <c:crossBetween val="midCat"/>
        <c:dispUnits/>
      </c:valAx>
      <c:valAx>
        <c:axId val="181106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8191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Ind4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2696360"/>
        <c:axId val="47158377"/>
      </c:scatterChart>
      <c:valAx>
        <c:axId val="1269636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CO mgm3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158377"/>
        <c:crosses val="autoZero"/>
        <c:crossBetween val="midCat"/>
        <c:dispUnits/>
      </c:valAx>
      <c:valAx>
        <c:axId val="471583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96360"/>
        <c:crosses val="autoZero"/>
        <c:crossBetween val="midCat"/>
        <c:dispUnits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775"/>
          <c:w val="0.8487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'24-30'!$A$37:$A$56</c:f>
              <c:numCache/>
            </c:numRef>
          </c:xVal>
          <c:yVal>
            <c:numRef>
              <c:f>'24-30'!$B$37:$B$56</c:f>
              <c:numCache/>
            </c:numRef>
          </c:yVal>
          <c:smooth val="0"/>
        </c:ser>
        <c:axId val="21772210"/>
        <c:axId val="61732163"/>
      </c:scatterChart>
      <c:valAx>
        <c:axId val="2177221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732163"/>
        <c:crosses val="autoZero"/>
        <c:crossBetween val="midCat"/>
        <c:dispUnits/>
      </c:valAx>
      <c:valAx>
        <c:axId val="617321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77221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'24-30'!$A$66:$A$85</c:f>
              <c:numCache/>
            </c:numRef>
          </c:xVal>
          <c:yVal>
            <c:numRef>
              <c:f>'24-30'!$B$66:$B$85</c:f>
              <c:numCache/>
            </c:numRef>
          </c:yVal>
          <c:smooth val="0"/>
        </c:ser>
        <c:axId val="18718556"/>
        <c:axId val="34249277"/>
      </c:scatterChart>
      <c:valAx>
        <c:axId val="1871855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249277"/>
        <c:crosses val="autoZero"/>
        <c:crossBetween val="midCat"/>
        <c:dispUnits/>
      </c:valAx>
      <c:valAx>
        <c:axId val="342492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71855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'24-30'!$A$95:$A$114</c:f>
              <c:numCache/>
            </c:numRef>
          </c:xVal>
          <c:yVal>
            <c:numRef>
              <c:f>'24-30'!$B$95:$B$114</c:f>
              <c:numCache/>
            </c:numRef>
          </c:yVal>
          <c:smooth val="0"/>
        </c:ser>
        <c:axId val="39808038"/>
        <c:axId val="22728023"/>
      </c:scatterChart>
      <c:valAx>
        <c:axId val="3980803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728023"/>
        <c:crosses val="autoZero"/>
        <c:crossBetween val="midCat"/>
        <c:dispUnits/>
      </c:valAx>
      <c:valAx>
        <c:axId val="227280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0803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'24-30'!$A$124:$A$146</c:f>
              <c:numCache/>
            </c:numRef>
          </c:xVal>
          <c:yVal>
            <c:numRef>
              <c:f>'24-30'!$B$124:$B$146</c:f>
              <c:numCache/>
            </c:numRef>
          </c:yVal>
          <c:smooth val="0"/>
        </c:ser>
        <c:axId val="3225616"/>
        <c:axId val="29030545"/>
      </c:scatterChart>
      <c:valAx>
        <c:axId val="3225616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4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030545"/>
        <c:crosses val="autoZero"/>
        <c:crossBetween val="midCat"/>
        <c:dispUnits/>
      </c:valAx>
      <c:valAx>
        <c:axId val="290305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2561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425"/>
          <c:y val="0.06775"/>
          <c:w val="0.836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'24-30'!$A$156:$A$176</c:f>
              <c:numCache/>
            </c:numRef>
          </c:xVal>
          <c:yVal>
            <c:numRef>
              <c:f>'24-30'!$B$156:$B$176</c:f>
              <c:numCache/>
            </c:numRef>
          </c:yVal>
          <c:smooth val="0"/>
        </c:ser>
        <c:axId val="59948314"/>
        <c:axId val="2663915"/>
      </c:scatterChart>
      <c:valAx>
        <c:axId val="59948314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63915"/>
        <c:crosses val="autoZero"/>
        <c:crossBetween val="midCat"/>
        <c:dispUnits/>
      </c:valAx>
      <c:valAx>
        <c:axId val="26639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4831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6775"/>
          <c:w val="0.82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'24-30'!$A$186:$A$204</c:f>
              <c:numCache/>
            </c:numRef>
          </c:xVal>
          <c:yVal>
            <c:numRef>
              <c:f>'24-30'!$B$186:$B$204</c:f>
              <c:numCache/>
            </c:numRef>
          </c:yVal>
          <c:smooth val="0"/>
        </c:ser>
        <c:axId val="23975236"/>
        <c:axId val="14450533"/>
      </c:scatterChart>
      <c:valAx>
        <c:axId val="239752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450533"/>
        <c:crosses val="autoZero"/>
        <c:crossBetween val="midCat"/>
        <c:dispUnits/>
      </c:valAx>
      <c:valAx>
        <c:axId val="144505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97523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975"/>
          <c:y val="0.0675"/>
          <c:w val="0.859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'31'!$A$8:$A$26</c:f>
              <c:numCache/>
            </c:numRef>
          </c:xVal>
          <c:yVal>
            <c:numRef>
              <c:f>'31'!$B$8:$B$26</c:f>
              <c:numCache/>
            </c:numRef>
          </c:yVal>
          <c:smooth val="1"/>
        </c:ser>
        <c:axId val="62945934"/>
        <c:axId val="29642495"/>
      </c:scatterChart>
      <c:valAx>
        <c:axId val="6294593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3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2495"/>
        <c:crosses val="autoZero"/>
        <c:crossBetween val="midCat"/>
        <c:dispUnits/>
      </c:valAx>
      <c:valAx>
        <c:axId val="296424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30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93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75"/>
          <c:y val="0.06775"/>
          <c:w val="0.839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'32-34'!$A$8:$A$25</c:f>
              <c:numCache/>
            </c:numRef>
          </c:xVal>
          <c:yVal>
            <c:numRef>
              <c:f>'32-34'!$B$8:$B$25</c:f>
              <c:numCache/>
            </c:numRef>
          </c:yVal>
          <c:smooth val="0"/>
        </c:ser>
        <c:axId val="65455864"/>
        <c:axId val="52231865"/>
      </c:scatterChart>
      <c:valAx>
        <c:axId val="654558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 val="autoZero"/>
        <c:crossBetween val="midCat"/>
        <c:dispUnits/>
        <c:majorUnit val="0.2"/>
        <c:minorUnit val="0.1"/>
      </c:valAx>
      <c:valAx>
        <c:axId val="522318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586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 horizontalDpi="300" verticalDpi="300"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'32-34'!$A$35:$A$52</c:f>
              <c:numCache/>
            </c:numRef>
          </c:xVal>
          <c:yVal>
            <c:numRef>
              <c:f>'32-34'!$B$35:$B$52</c:f>
              <c:numCache/>
            </c:numRef>
          </c:yVal>
          <c:smooth val="0"/>
        </c:ser>
        <c:axId val="324738"/>
        <c:axId val="2922643"/>
      </c:scatterChart>
      <c:valAx>
        <c:axId val="32473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 val="autoZero"/>
        <c:crossBetween val="midCat"/>
        <c:dispUnits/>
        <c:majorUnit val="0.2"/>
        <c:minorUnit val="0.1"/>
      </c:valAx>
      <c:valAx>
        <c:axId val="29226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8777988"/>
        <c:axId val="57675301"/>
      </c:scatterChart>
      <c:valAx>
        <c:axId val="28777988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(mg/m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crossBetween val="midCat"/>
        <c:dispUnits/>
      </c:valAx>
      <c:valAx>
        <c:axId val="576753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'32-34'!$A$62:$A$79</c:f>
              <c:numCache/>
            </c:numRef>
          </c:xVal>
          <c:yVal>
            <c:numRef>
              <c:f>'32-34'!$B$62:$B$79</c:f>
              <c:numCache/>
            </c:numRef>
          </c:yVal>
          <c:smooth val="0"/>
        </c:ser>
        <c:axId val="26303788"/>
        <c:axId val="35407501"/>
      </c:scatterChart>
      <c:valAx>
        <c:axId val="263037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 val="autoZero"/>
        <c:crossBetween val="midCat"/>
        <c:dispUnits/>
        <c:majorUnit val="0.2"/>
        <c:minorUnit val="0.1"/>
      </c:valAx>
      <c:valAx>
        <c:axId val="354075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'35-39'!$A$8:$A$30</c:f>
              <c:numCache/>
            </c:numRef>
          </c:xVal>
          <c:yVal>
            <c:numRef>
              <c:f>'35-39'!$B$8:$B$30</c:f>
              <c:numCache/>
            </c:numRef>
          </c:yVal>
          <c:smooth val="0"/>
        </c:ser>
        <c:axId val="50232054"/>
        <c:axId val="49435303"/>
      </c:scatterChart>
      <c:valAx>
        <c:axId val="50232054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35303"/>
        <c:crosses val="autoZero"/>
        <c:crossBetween val="midCat"/>
        <c:dispUnits/>
      </c:valAx>
      <c:valAx>
        <c:axId val="494353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23205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'35-39'!$A$40:$A$64</c:f>
              <c:numCache/>
            </c:numRef>
          </c:xVal>
          <c:yVal>
            <c:numRef>
              <c:f>'35-39'!$B$40:$B$64</c:f>
              <c:numCache/>
            </c:numRef>
          </c:yVal>
          <c:smooth val="0"/>
        </c:ser>
        <c:axId val="42264544"/>
        <c:axId val="44836577"/>
      </c:scatterChart>
      <c:valAx>
        <c:axId val="42264544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836577"/>
        <c:crosses val="autoZero"/>
        <c:crossBetween val="midCat"/>
        <c:dispUnits/>
      </c:valAx>
      <c:valAx>
        <c:axId val="448365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26454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'35-39'!$A$74:$A$98</c:f>
              <c:numCache/>
            </c:numRef>
          </c:xVal>
          <c:yVal>
            <c:numRef>
              <c:f>'35-39'!$B$74:$B$98</c:f>
              <c:numCache/>
            </c:numRef>
          </c:yVal>
          <c:smooth val="0"/>
        </c:ser>
        <c:axId val="876010"/>
        <c:axId val="7884091"/>
      </c:scatterChart>
      <c:valAx>
        <c:axId val="876010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84091"/>
        <c:crosses val="autoZero"/>
        <c:crossBetween val="midCat"/>
        <c:dispUnits/>
      </c:valAx>
      <c:valAx>
        <c:axId val="78840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601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75"/>
          <c:w val="0.825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'35-39'!$A$108:$A$124</c:f>
              <c:numCache/>
            </c:numRef>
          </c:xVal>
          <c:yVal>
            <c:numRef>
              <c:f>'35-39'!$B$108:$B$124</c:f>
              <c:numCache/>
            </c:numRef>
          </c:yVal>
          <c:smooth val="0"/>
        </c:ser>
        <c:axId val="3847956"/>
        <c:axId val="34631605"/>
      </c:scatterChart>
      <c:valAx>
        <c:axId val="38479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31605"/>
        <c:crosses val="autoZero"/>
        <c:crossBetween val="midCat"/>
        <c:dispUnits/>
      </c:valAx>
      <c:valAx>
        <c:axId val="346316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795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75"/>
          <c:w val="0.832"/>
          <c:h val="0.68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'35-39'!$A$134:$A$153</c:f>
              <c:numCache/>
            </c:numRef>
          </c:xVal>
          <c:yVal>
            <c:numRef>
              <c:f>'35-39'!$B$134:$B$153</c:f>
              <c:numCache/>
            </c:numRef>
          </c:yVal>
          <c:smooth val="0"/>
        </c:ser>
        <c:axId val="43248990"/>
        <c:axId val="53696591"/>
      </c:scatterChart>
      <c:valAx>
        <c:axId val="4324899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dia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84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96591"/>
        <c:crosses val="autoZero"/>
        <c:crossBetween val="midCat"/>
        <c:dispUnits/>
      </c:valAx>
      <c:valAx>
        <c:axId val="536965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4899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5"/>
          <c:w val="0.84175"/>
          <c:h val="0.6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'40'!$A$8:$A$29</c:f>
              <c:numCache/>
            </c:numRef>
          </c:xVal>
          <c:yVal>
            <c:numRef>
              <c:f>'40'!$B$8:$B$29</c:f>
              <c:numCache/>
            </c:numRef>
          </c:yVal>
          <c:smooth val="0"/>
        </c:ser>
        <c:axId val="13507272"/>
        <c:axId val="54456585"/>
      </c:scatterChart>
      <c:valAx>
        <c:axId val="13507272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Rango</a:t>
                </a:r>
              </a:p>
            </c:rich>
          </c:tx>
          <c:layout>
            <c:manualLayout>
              <c:xMode val="edge"/>
              <c:yMode val="edge"/>
              <c:x val="0.47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crossBetween val="midCat"/>
        <c:dispUnits/>
      </c:valAx>
      <c:valAx>
        <c:axId val="544565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727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272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'41-44'!$A$8:$A$24</c:f>
              <c:numCache/>
            </c:numRef>
          </c:xVal>
          <c:yVal>
            <c:numRef>
              <c:f>'41-44'!$B$8:$B$24</c:f>
              <c:numCache/>
            </c:numRef>
          </c:yVal>
          <c:smooth val="0"/>
        </c:ser>
        <c:axId val="20347218"/>
        <c:axId val="48907235"/>
      </c:scatterChart>
      <c:valAx>
        <c:axId val="20347218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9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crossBetween val="midCat"/>
        <c:dispUnits/>
      </c:valAx>
      <c:valAx>
        <c:axId val="489072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 horizontalDpi="300" verticalDpi="300"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'41-44'!$A$34:$A$52</c:f>
              <c:numCache/>
            </c:numRef>
          </c:xVal>
          <c:yVal>
            <c:numRef>
              <c:f>'41-44'!$B$34:$B$52</c:f>
              <c:numCache/>
            </c:numRef>
          </c:yVal>
          <c:smooth val="0"/>
        </c:ser>
        <c:axId val="37511932"/>
        <c:axId val="2063069"/>
      </c:scatterChart>
      <c:valAx>
        <c:axId val="37511932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crossBetween val="midCat"/>
        <c:dispUnits/>
      </c:valAx>
      <c:valAx>
        <c:axId val="20630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'41-44'!$A$62:$A$80</c:f>
              <c:numCache/>
            </c:numRef>
          </c:xVal>
          <c:yVal>
            <c:numRef>
              <c:f>'41-44'!$B$62:$B$80</c:f>
              <c:numCache/>
            </c:numRef>
          </c:yVal>
          <c:smooth val="0"/>
        </c:ser>
        <c:axId val="18567622"/>
        <c:axId val="32890871"/>
      </c:scatterChart>
      <c:valAx>
        <c:axId val="18567622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crossBetween val="midCat"/>
        <c:dispUnits/>
      </c:valAx>
      <c:valAx>
        <c:axId val="328908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Ind5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9315662"/>
        <c:axId val="41187775"/>
      </c:scatterChart>
      <c:valAx>
        <c:axId val="49315662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187775"/>
        <c:crosses val="autoZero"/>
        <c:crossBetween val="midCat"/>
        <c:dispUnits/>
      </c:valAx>
      <c:valAx>
        <c:axId val="411877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31566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5"/>
          <c:w val="0.812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'41-44'!$A$90:$A$107</c:f>
              <c:numCache/>
            </c:numRef>
          </c:xVal>
          <c:yVal>
            <c:numRef>
              <c:f>'41-44'!$B$90:$B$107</c:f>
              <c:numCache/>
            </c:numRef>
          </c:yVal>
          <c:smooth val="0"/>
        </c:ser>
        <c:axId val="27582384"/>
        <c:axId val="46914865"/>
      </c:scatterChart>
      <c:valAx>
        <c:axId val="275823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865"/>
        <c:crosses val="autoZero"/>
        <c:crossBetween val="midCat"/>
        <c:dispUnits/>
      </c:valAx>
      <c:valAx>
        <c:axId val="469148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2384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'4-7'!$A$73:$A$97</c:f>
              <c:numCache/>
            </c:numRef>
          </c:xVal>
          <c:yVal>
            <c:numRef>
              <c:f>'4-7'!$B$73:$B$97</c:f>
              <c:numCache/>
            </c:numRef>
          </c:yVal>
          <c:smooth val="0"/>
        </c:ser>
        <c:axId val="35145656"/>
        <c:axId val="47875449"/>
      </c:scatterChart>
      <c:valAx>
        <c:axId val="35145656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875449"/>
        <c:crosses val="autoZero"/>
        <c:crossBetween val="midCat"/>
        <c:dispUnits/>
      </c:valAx>
      <c:valAx>
        <c:axId val="478754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14565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'4-7'!$A$107:$A$123</c:f>
              <c:numCache/>
            </c:numRef>
          </c:xVal>
          <c:yVal>
            <c:numRef>
              <c:f>'4-7'!$B$107:$B$123</c:f>
              <c:numCache/>
            </c:numRef>
          </c:yVal>
          <c:smooth val="0"/>
        </c:ser>
        <c:axId val="28225858"/>
        <c:axId val="52706131"/>
      </c:scatterChart>
      <c:valAx>
        <c:axId val="282258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06131"/>
        <c:crosses val="autoZero"/>
        <c:crossBetween val="midCat"/>
        <c:dispUnits/>
      </c:valAx>
      <c:valAx>
        <c:axId val="527061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2585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1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'4-7'!$A$8:$A$29</c:f>
              <c:numCache/>
            </c:numRef>
          </c:xVal>
          <c:yVal>
            <c:numRef>
              <c:f>'4-7'!$B$8:$B$29</c:f>
              <c:numCache/>
            </c:numRef>
          </c:yVal>
          <c:smooth val="0"/>
        </c:ser>
        <c:axId val="4593132"/>
        <c:axId val="41338189"/>
      </c:scatterChart>
      <c:valAx>
        <c:axId val="4593132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crossBetween val="midCat"/>
        <c:dispUnits/>
      </c:valAx>
      <c:valAx>
        <c:axId val="413381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'4-7'!$A$39:$A$63</c:f>
              <c:numCache/>
            </c:numRef>
          </c:xVal>
          <c:yVal>
            <c:numRef>
              <c:f>'4-7'!$B$39:$B$63</c:f>
              <c:numCache/>
            </c:numRef>
          </c:yVal>
          <c:smooth val="0"/>
        </c:ser>
        <c:axId val="36499382"/>
        <c:axId val="60058983"/>
      </c:scatterChart>
      <c:valAx>
        <c:axId val="36499382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2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58983"/>
        <c:crosses val="autoZero"/>
        <c:crossBetween val="midCat"/>
        <c:dispUnits/>
      </c:valAx>
      <c:valAx>
        <c:axId val="600589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9938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image" Target="../media/image5.emf" /><Relationship Id="rId3" Type="http://schemas.openxmlformats.org/officeDocument/2006/relationships/chart" Target="/xl/charts/chart42.xml" /><Relationship Id="rId4" Type="http://schemas.openxmlformats.org/officeDocument/2006/relationships/image" Target="../media/image6.emf" /><Relationship Id="rId5" Type="http://schemas.openxmlformats.org/officeDocument/2006/relationships/chart" Target="/xl/charts/chart43.xml" /><Relationship Id="rId6" Type="http://schemas.openxmlformats.org/officeDocument/2006/relationships/image" Target="../media/image7.emf" /><Relationship Id="rId7" Type="http://schemas.openxmlformats.org/officeDocument/2006/relationships/chart" Target="/xl/charts/chart44.xml" /><Relationship Id="rId8" Type="http://schemas.openxmlformats.org/officeDocument/2006/relationships/image" Target="../media/image8.emf" /><Relationship Id="rId9" Type="http://schemas.openxmlformats.org/officeDocument/2006/relationships/chart" Target="/xl/charts/chart4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8.emf" /><Relationship Id="rId4" Type="http://schemas.openxmlformats.org/officeDocument/2006/relationships/image" Target="../media/image21.emf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image" Target="../media/image18.emf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image" Target="../media/image10.emf" /><Relationship Id="rId7" Type="http://schemas.openxmlformats.org/officeDocument/2006/relationships/chart" Target="/xl/charts/chart34.xml" /><Relationship Id="rId8" Type="http://schemas.openxmlformats.org/officeDocument/2006/relationships/image" Target="../media/image11.emf" /><Relationship Id="rId9" Type="http://schemas.openxmlformats.org/officeDocument/2006/relationships/chart" Target="/xl/charts/chart35.xml" /><Relationship Id="rId10" Type="http://schemas.openxmlformats.org/officeDocument/2006/relationships/image" Target="../media/image12.emf" /><Relationship Id="rId1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4</xdr:col>
      <xdr:colOff>1295400</xdr:colOff>
      <xdr:row>20</xdr:row>
      <xdr:rowOff>0</xdr:rowOff>
    </xdr:to>
    <xdr:graphicFrame macro="">
      <xdr:nvGraphicFramePr>
        <xdr:cNvPr id="2050" name="Chart 2"/>
        <xdr:cNvGraphicFramePr/>
      </xdr:nvGraphicFramePr>
      <xdr:xfrm>
        <a:off x="3810000" y="2676525"/>
        <a:ext cx="39052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50</xdr:row>
      <xdr:rowOff>9525</xdr:rowOff>
    </xdr:from>
    <xdr:to>
      <xdr:col>5</xdr:col>
      <xdr:colOff>0</xdr:colOff>
      <xdr:row>63</xdr:row>
      <xdr:rowOff>0</xdr:rowOff>
    </xdr:to>
    <xdr:graphicFrame macro="">
      <xdr:nvGraphicFramePr>
        <xdr:cNvPr id="2054" name="Chart 6"/>
        <xdr:cNvGraphicFramePr/>
      </xdr:nvGraphicFramePr>
      <xdr:xfrm>
        <a:off x="3819525" y="111728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57150</xdr:colOff>
      <xdr:row>93</xdr:row>
      <xdr:rowOff>0</xdr:rowOff>
    </xdr:from>
    <xdr:ext cx="3857625" cy="2571750"/>
    <xdr:sp macro="" fLocksText="0" textlink="">
      <xdr:nvSpPr>
        <xdr:cNvPr id="2055" name="Text Box 7"/>
        <xdr:cNvSpPr txBox="1">
          <a:spLocks noChangeArrowheads="1"/>
        </xdr:cNvSpPr>
      </xdr:nvSpPr>
      <xdr:spPr bwMode="auto">
        <a:xfrm>
          <a:off x="3867150" y="19659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</xdr:txBody>
    </xdr:sp>
    <xdr:clientData/>
  </xdr:oneCellAnchor>
  <xdr:twoCellAnchor>
    <xdr:from>
      <xdr:col>2</xdr:col>
      <xdr:colOff>0</xdr:colOff>
      <xdr:row>80</xdr:row>
      <xdr:rowOff>9525</xdr:rowOff>
    </xdr:from>
    <xdr:to>
      <xdr:col>5</xdr:col>
      <xdr:colOff>0</xdr:colOff>
      <xdr:row>93</xdr:row>
      <xdr:rowOff>0</xdr:rowOff>
    </xdr:to>
    <xdr:graphicFrame macro="">
      <xdr:nvGraphicFramePr>
        <xdr:cNvPr id="2056" name="Chart 8"/>
        <xdr:cNvGraphicFramePr/>
      </xdr:nvGraphicFramePr>
      <xdr:xfrm>
        <a:off x="3810000" y="175641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58" name="Chart 10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60" name="Chart 12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62</xdr:row>
      <xdr:rowOff>152400</xdr:rowOff>
    </xdr:from>
    <xdr:ext cx="3914775" cy="1304925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3810000" y="132588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:concentración de 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partículas en suspensión, Pb,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CO e hidrocarburos.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=350, partículas en suspensión=250, Pb=4,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=200, CO=20 y hidrocarburos=140.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ORAQI toma valores desde 0 (aire limpio) a 50 (aire contaminado, con las 5 concentraciones de los parámetros iguales a la estándar).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las concentraciones medidas superan a la estándar, el IRAQI puede llegar a valores superiores a 500.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14775" cy="1295400"/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3810000" y="47720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la fórmula del índice: K:0,75 (aire ligero y/o olor agradable), 0,50 (aire con olor desagradable), 0,25 (aire con olor fuerte y muy desagradable), 0,00 (aire con olor insoportable) y 1,00 (cuano se considera el olor como un factor independiente de la calidad del aire). 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Pi: peso parámetro y Ci: valor porcentual se obtienen de la tabla.</a:t>
          </a: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Unidades =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(CO en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571500</xdr:colOff>
      <xdr:row>2</xdr:row>
      <xdr:rowOff>0</xdr:rowOff>
    </xdr:from>
    <xdr:to>
      <xdr:col>1</xdr:col>
      <xdr:colOff>1714500</xdr:colOff>
      <xdr:row>2</xdr:row>
      <xdr:rowOff>371475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47875" y="762000"/>
          <a:ext cx="114300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838200</xdr:colOff>
      <xdr:row>30</xdr:row>
      <xdr:rowOff>0</xdr:rowOff>
    </xdr:from>
    <xdr:ext cx="1733550" cy="1257300"/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5953125" y="6391275"/>
          <a:ext cx="1733550" cy="125730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Los valores expresados no deben sobrepasar más de 3 días. SI tomamos como indicador la concentraciín media en un año, los valores analíticos correspondientes a cada valor porcentual se reducen aproximadamente a la mitad.</a:t>
          </a:r>
        </a:p>
      </xdr:txBody>
    </xdr:sp>
    <xdr:clientData/>
  </xdr:oneCellAnchor>
  <xdr:twoCellAnchor editAs="oneCell">
    <xdr:from>
      <xdr:col>1</xdr:col>
      <xdr:colOff>476250</xdr:colOff>
      <xdr:row>44</xdr:row>
      <xdr:rowOff>371475</xdr:rowOff>
    </xdr:from>
    <xdr:to>
      <xdr:col>1</xdr:col>
      <xdr:colOff>1704975</xdr:colOff>
      <xdr:row>46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52625" y="9248775"/>
          <a:ext cx="1228725" cy="3905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238125</xdr:colOff>
      <xdr:row>109</xdr:row>
      <xdr:rowOff>19050</xdr:rowOff>
    </xdr:from>
    <xdr:ext cx="7486650" cy="904875"/>
    <xdr:sp macro="" fLocksText="0" textlink="">
      <xdr:nvSpPr>
        <xdr:cNvPr id="2073" name="Text Box 25"/>
        <xdr:cNvSpPr txBox="1">
          <a:spLocks noChangeArrowheads="1"/>
        </xdr:cNvSpPr>
      </xdr:nvSpPr>
      <xdr:spPr bwMode="auto">
        <a:xfrm>
          <a:off x="238125" y="22269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</xdr:txBody>
    </xdr:sp>
    <xdr:clientData/>
  </xdr:oneCellAnchor>
  <xdr:twoCellAnchor editAs="oneCell">
    <xdr:from>
      <xdr:col>0</xdr:col>
      <xdr:colOff>0</xdr:colOff>
      <xdr:row>28</xdr:row>
      <xdr:rowOff>9525</xdr:rowOff>
    </xdr:from>
    <xdr:to>
      <xdr:col>3</xdr:col>
      <xdr:colOff>714375</xdr:colOff>
      <xdr:row>42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0" y="6076950"/>
          <a:ext cx="5829300" cy="2257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9525</xdr:rowOff>
    </xdr:from>
    <xdr:ext cx="3914775" cy="2095500"/>
    <xdr:graphicFrame macro="">
      <xdr:nvGraphicFramePr>
        <xdr:cNvPr id="16386" name="Chart 1026"/>
        <xdr:cNvGraphicFramePr/>
      </xdr:nvGraphicFramePr>
      <xdr:xfrm>
        <a:off x="3810000" y="2676525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2</xdr:col>
      <xdr:colOff>0</xdr:colOff>
      <xdr:row>146</xdr:row>
      <xdr:rowOff>0</xdr:rowOff>
    </xdr:from>
    <xdr:ext cx="3924300" cy="1133475"/>
    <xdr:sp macro="" fLocksText="0" textlink="">
      <xdr:nvSpPr>
        <xdr:cNvPr id="16393" name="Text Box 1033"/>
        <xdr:cNvSpPr txBox="1">
          <a:spLocks noChangeArrowheads="1"/>
        </xdr:cNvSpPr>
      </xdr:nvSpPr>
      <xdr:spPr bwMode="auto">
        <a:xfrm>
          <a:off x="3810000" y="31308675"/>
          <a:ext cx="392430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D= deposición (g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día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afectados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= coeficiente de interés de la superficie afectada, vale de 0 a 6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05250" cy="1609725"/>
    <xdr:sp macro="" fLocksText="0" textlink="">
      <xdr:nvSpPr>
        <xdr:cNvPr id="16395" name="Text Box 1035"/>
        <xdr:cNvSpPr txBox="1">
          <a:spLocks noChangeArrowheads="1"/>
        </xdr:cNvSpPr>
      </xdr:nvSpPr>
      <xdr:spPr bwMode="auto">
        <a:xfrm>
          <a:off x="3810000" y="4772025"/>
          <a:ext cx="3905250" cy="1609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733425</xdr:colOff>
      <xdr:row>34</xdr:row>
      <xdr:rowOff>9525</xdr:rowOff>
    </xdr:from>
    <xdr:to>
      <xdr:col>1</xdr:col>
      <xdr:colOff>1533525</xdr:colOff>
      <xdr:row>35</xdr:row>
      <xdr:rowOff>28575</xdr:rowOff>
    </xdr:to>
    <xdr:pic>
      <xdr:nvPicPr>
        <xdr:cNvPr id="16396" name="Picture 1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9800" y="7486650"/>
          <a:ext cx="8001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39</xdr:row>
      <xdr:rowOff>9525</xdr:rowOff>
    </xdr:from>
    <xdr:ext cx="3914775" cy="2095500"/>
    <xdr:graphicFrame macro="">
      <xdr:nvGraphicFramePr>
        <xdr:cNvPr id="16399" name="Chart 1039"/>
        <xdr:cNvGraphicFramePr/>
      </xdr:nvGraphicFramePr>
      <xdr:xfrm>
        <a:off x="3810000" y="939165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oneCellAnchor>
    <xdr:from>
      <xdr:col>2</xdr:col>
      <xdr:colOff>0</xdr:colOff>
      <xdr:row>52</xdr:row>
      <xdr:rowOff>0</xdr:rowOff>
    </xdr:from>
    <xdr:ext cx="3905250" cy="1943100"/>
    <xdr:sp macro="" fLocksText="0" textlink="">
      <xdr:nvSpPr>
        <xdr:cNvPr id="16400" name="Text Box 1040"/>
        <xdr:cNvSpPr txBox="1">
          <a:spLocks noChangeArrowheads="1"/>
        </xdr:cNvSpPr>
      </xdr:nvSpPr>
      <xdr:spPr bwMode="auto">
        <a:xfrm>
          <a:off x="3810000" y="1148715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742950</xdr:colOff>
      <xdr:row>68</xdr:row>
      <xdr:rowOff>0</xdr:rowOff>
    </xdr:from>
    <xdr:to>
      <xdr:col>1</xdr:col>
      <xdr:colOff>1524000</xdr:colOff>
      <xdr:row>68</xdr:row>
      <xdr:rowOff>371475</xdr:rowOff>
    </xdr:to>
    <xdr:pic>
      <xdr:nvPicPr>
        <xdr:cNvPr id="16401" name="Picture 10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19325" y="14516100"/>
          <a:ext cx="78105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73</xdr:row>
      <xdr:rowOff>9525</xdr:rowOff>
    </xdr:from>
    <xdr:ext cx="3914775" cy="2095500"/>
    <xdr:graphicFrame macro="">
      <xdr:nvGraphicFramePr>
        <xdr:cNvPr id="16402" name="Chart 1042"/>
        <xdr:cNvGraphicFramePr/>
      </xdr:nvGraphicFramePr>
      <xdr:xfrm>
        <a:off x="3810000" y="1643062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oneCellAnchor>
  <xdr:oneCellAnchor>
    <xdr:from>
      <xdr:col>2</xdr:col>
      <xdr:colOff>0</xdr:colOff>
      <xdr:row>85</xdr:row>
      <xdr:rowOff>152400</xdr:rowOff>
    </xdr:from>
    <xdr:ext cx="3905250" cy="1943100"/>
    <xdr:sp macro="" fLocksText="0" textlink="">
      <xdr:nvSpPr>
        <xdr:cNvPr id="16403" name="Text Box 1043"/>
        <xdr:cNvSpPr txBox="1">
          <a:spLocks noChangeArrowheads="1"/>
        </xdr:cNvSpPr>
      </xdr:nvSpPr>
      <xdr:spPr bwMode="auto">
        <a:xfrm>
          <a:off x="3810000" y="185166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95250</xdr:colOff>
      <xdr:row>102</xdr:row>
      <xdr:rowOff>28575</xdr:rowOff>
    </xdr:from>
    <xdr:to>
      <xdr:col>1</xdr:col>
      <xdr:colOff>2247900</xdr:colOff>
      <xdr:row>102</xdr:row>
      <xdr:rowOff>381000</xdr:rowOff>
    </xdr:to>
    <xdr:pic>
      <xdr:nvPicPr>
        <xdr:cNvPr id="16404" name="Picture 10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571625" y="2158365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119</xdr:row>
      <xdr:rowOff>152400</xdr:rowOff>
    </xdr:from>
    <xdr:ext cx="3905250" cy="657225"/>
    <xdr:sp macro="" fLocksText="0" textlink="">
      <xdr:nvSpPr>
        <xdr:cNvPr id="16405" name="Text Box 1045"/>
        <xdr:cNvSpPr txBox="1">
          <a:spLocks noChangeArrowheads="1"/>
        </xdr:cNvSpPr>
      </xdr:nvSpPr>
      <xdr:spPr bwMode="auto">
        <a:xfrm>
          <a:off x="3810000" y="25555575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Maximo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107</xdr:row>
      <xdr:rowOff>0</xdr:rowOff>
    </xdr:from>
    <xdr:to>
      <xdr:col>5</xdr:col>
      <xdr:colOff>9525</xdr:colOff>
      <xdr:row>120</xdr:row>
      <xdr:rowOff>0</xdr:rowOff>
    </xdr:to>
    <xdr:graphicFrame macro="">
      <xdr:nvGraphicFramePr>
        <xdr:cNvPr id="16406" name="Chart 1046"/>
        <xdr:cNvGraphicFramePr/>
      </xdr:nvGraphicFramePr>
      <xdr:xfrm>
        <a:off x="3810000" y="23460075"/>
        <a:ext cx="39243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866775</xdr:colOff>
      <xdr:row>128</xdr:row>
      <xdr:rowOff>28575</xdr:rowOff>
    </xdr:from>
    <xdr:to>
      <xdr:col>1</xdr:col>
      <xdr:colOff>1362075</xdr:colOff>
      <xdr:row>128</xdr:row>
      <xdr:rowOff>381000</xdr:rowOff>
    </xdr:to>
    <xdr:pic>
      <xdr:nvPicPr>
        <xdr:cNvPr id="16407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343150" y="27327225"/>
          <a:ext cx="4953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0</xdr:colOff>
      <xdr:row>146</xdr:row>
      <xdr:rowOff>9525</xdr:rowOff>
    </xdr:to>
    <xdr:graphicFrame macro="">
      <xdr:nvGraphicFramePr>
        <xdr:cNvPr id="16408" name="Chart 1048"/>
        <xdr:cNvGraphicFramePr/>
      </xdr:nvGraphicFramePr>
      <xdr:xfrm>
        <a:off x="3810000" y="29203650"/>
        <a:ext cx="39147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18434" name="Chart 1026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152400</xdr:rowOff>
    </xdr:to>
    <xdr:grpSp>
      <xdr:nvGrpSpPr>
        <xdr:cNvPr id="5" name="4 Grupo"/>
        <xdr:cNvGrpSpPr/>
      </xdr:nvGrpSpPr>
      <xdr:grpSpPr>
        <a:xfrm>
          <a:off x="3810000" y="4772025"/>
          <a:ext cx="3914775" cy="1447800"/>
          <a:chOff x="3810000" y="4813300"/>
          <a:chExt cx="3924300" cy="1473200"/>
        </a:xfrm>
      </xdr:grpSpPr>
      <xdr:sp macro="" fLocksText="0" textlink="">
        <xdr:nvSpPr>
          <xdr:cNvPr id="18433" name="Text Box 1025"/>
          <xdr:cNvSpPr txBox="1">
            <a:spLocks noChangeArrowheads="1"/>
          </xdr:cNvSpPr>
        </xdr:nvSpPr>
        <xdr:spPr bwMode="auto">
          <a:xfrm>
            <a:off x="3810000" y="4813300"/>
            <a:ext cx="3924300" cy="14732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1.1.1 AIRE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1.1.1.A OLORES</a:t>
            </a: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8444" name="Picture 1036"/>
          <xdr:cNvPicPr preferRelativeResize="1">
            <a:picLocks noChangeAspect="1"/>
          </xdr:cNvPicPr>
        </xdr:nvPicPr>
        <xdr:blipFill>
          <a:blip r:embed="rId2"/>
          <a:srcRect r="52920" b="13053"/>
          <a:stretch>
            <a:fillRect/>
          </a:stretch>
        </xdr:blipFill>
        <xdr:spPr bwMode="auto">
          <a:xfrm>
            <a:off x="3962067" y="5181600"/>
            <a:ext cx="2568454" cy="98115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20483" name="Text Box 3"/>
        <xdr:cNvSpPr txBox="1">
          <a:spLocks noChangeArrowheads="1"/>
        </xdr:cNvSpPr>
      </xdr:nvSpPr>
      <xdr:spPr bwMode="auto">
        <a:xfrm>
          <a:off x="3810000" y="4762500"/>
          <a:ext cx="391477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1.1.1.X.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gN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84" name="Chart 4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752475</xdr:colOff>
      <xdr:row>28</xdr:row>
      <xdr:rowOff>0</xdr:rowOff>
    </xdr:from>
    <xdr:to>
      <xdr:col>1</xdr:col>
      <xdr:colOff>1552575</xdr:colOff>
      <xdr:row>29</xdr:row>
      <xdr:rowOff>28575</xdr:rowOff>
    </xdr:to>
    <xdr:pic>
      <xdr:nvPicPr>
        <xdr:cNvPr id="2049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28850" y="6505575"/>
          <a:ext cx="8001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84</xdr:row>
      <xdr:rowOff>9525</xdr:rowOff>
    </xdr:from>
    <xdr:to>
      <xdr:col>1</xdr:col>
      <xdr:colOff>2276475</xdr:colOff>
      <xdr:row>84</xdr:row>
      <xdr:rowOff>371475</xdr:rowOff>
    </xdr:to>
    <xdr:pic>
      <xdr:nvPicPr>
        <xdr:cNvPr id="2049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609725" y="18649950"/>
          <a:ext cx="21431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781050</xdr:colOff>
      <xdr:row>56</xdr:row>
      <xdr:rowOff>0</xdr:rowOff>
    </xdr:from>
    <xdr:to>
      <xdr:col>1</xdr:col>
      <xdr:colOff>1533525</xdr:colOff>
      <xdr:row>56</xdr:row>
      <xdr:rowOff>371475</xdr:rowOff>
    </xdr:to>
    <xdr:pic>
      <xdr:nvPicPr>
        <xdr:cNvPr id="2049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57425" y="12573000"/>
          <a:ext cx="7524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494" name="Chart 14"/>
        <xdr:cNvGraphicFramePr/>
      </xdr:nvGraphicFramePr>
      <xdr:xfrm>
        <a:off x="3810000" y="8410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495" name="Chart 15"/>
        <xdr:cNvGraphicFramePr/>
      </xdr:nvGraphicFramePr>
      <xdr:xfrm>
        <a:off x="3810000" y="144780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9525</xdr:rowOff>
    </xdr:to>
    <xdr:graphicFrame macro="">
      <xdr:nvGraphicFramePr>
        <xdr:cNvPr id="20496" name="Chart 16"/>
        <xdr:cNvGraphicFramePr/>
      </xdr:nvGraphicFramePr>
      <xdr:xfrm>
        <a:off x="3810000" y="20545425"/>
        <a:ext cx="391477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9525</xdr:rowOff>
    </xdr:to>
    <xdr:sp macro="" fLocksText="0" textlink="">
      <xdr:nvSpPr>
        <xdr:cNvPr id="20497" name="Text Box 17"/>
        <xdr:cNvSpPr txBox="1">
          <a:spLocks noChangeArrowheads="1"/>
        </xdr:cNvSpPr>
      </xdr:nvSpPr>
      <xdr:spPr bwMode="auto">
        <a:xfrm>
          <a:off x="3810000" y="105156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las zonas n homogéneas.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0</xdr:colOff>
      <xdr:row>73</xdr:row>
      <xdr:rowOff>152400</xdr:rowOff>
    </xdr:from>
    <xdr:ext cx="3914775" cy="981075"/>
    <xdr:sp macro="" fLocksText="0" textlink="">
      <xdr:nvSpPr>
        <xdr:cNvPr id="20499" name="Text Box 19"/>
        <xdr:cNvSpPr txBox="1">
          <a:spLocks noChangeArrowheads="1"/>
        </xdr:cNvSpPr>
      </xdr:nvSpPr>
      <xdr:spPr bwMode="auto">
        <a:xfrm>
          <a:off x="3810000" y="165735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101</xdr:row>
      <xdr:rowOff>152400</xdr:rowOff>
    </xdr:from>
    <xdr:ext cx="3914775" cy="819150"/>
    <xdr:sp macro="" fLocksText="0" textlink="">
      <xdr:nvSpPr>
        <xdr:cNvPr id="20500" name="Text Box 20"/>
        <xdr:cNvSpPr txBox="1">
          <a:spLocks noChangeArrowheads="1"/>
        </xdr:cNvSpPr>
      </xdr:nvSpPr>
      <xdr:spPr bwMode="auto">
        <a:xfrm>
          <a:off x="3810000" y="22640925"/>
          <a:ext cx="391477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Como máximo admisible suele tomarse 1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84</xdr:row>
      <xdr:rowOff>152400</xdr:rowOff>
    </xdr:from>
    <xdr:to>
      <xdr:col>5</xdr:col>
      <xdr:colOff>0</xdr:colOff>
      <xdr:row>96</xdr:row>
      <xdr:rowOff>152400</xdr:rowOff>
    </xdr:to>
    <xdr:sp macro="" fLocksText="0" textlink="">
      <xdr:nvSpPr>
        <xdr:cNvPr id="3073" name="Text Box 1"/>
        <xdr:cNvSpPr txBox="1">
          <a:spLocks noChangeArrowheads="1"/>
        </xdr:cNvSpPr>
      </xdr:nvSpPr>
      <xdr:spPr bwMode="auto">
        <a:xfrm>
          <a:off x="3810000" y="1835467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1.1.1.1.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                             20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3074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118</xdr:row>
      <xdr:rowOff>152400</xdr:rowOff>
    </xdr:from>
    <xdr:to>
      <xdr:col>5</xdr:col>
      <xdr:colOff>0</xdr:colOff>
      <xdr:row>123</xdr:row>
      <xdr:rowOff>0</xdr:rowOff>
    </xdr:to>
    <xdr:sp macro="" fLocksText="0" textlink="">
      <xdr:nvSpPr>
        <xdr:cNvPr id="3075" name="Text Box 3"/>
        <xdr:cNvSpPr txBox="1">
          <a:spLocks noChangeArrowheads="1"/>
        </xdr:cNvSpPr>
      </xdr:nvSpPr>
      <xdr:spPr bwMode="auto">
        <a:xfrm>
          <a:off x="3819525" y="25393650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3076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101</xdr:row>
      <xdr:rowOff>19050</xdr:rowOff>
    </xdr:from>
    <xdr:to>
      <xdr:col>1</xdr:col>
      <xdr:colOff>2238375</xdr:colOff>
      <xdr:row>101</xdr:row>
      <xdr:rowOff>371475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62100" y="2141220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91" name="Chart 19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3092" name="Chart 20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3093" name="Text Box 21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</xdr:txBody>
    </xdr:sp>
    <xdr:clientData/>
  </xdr:oneCellAnchor>
  <xdr:oneCellAnchor>
    <xdr:from>
      <xdr:col>2</xdr:col>
      <xdr:colOff>9525</xdr:colOff>
      <xdr:row>51</xdr:row>
      <xdr:rowOff>0</xdr:rowOff>
    </xdr:from>
    <xdr:ext cx="3905250" cy="1933575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9525" y="11325225"/>
          <a:ext cx="3905250" cy="1933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6146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6148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0" name="Chart 6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2324100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2" name="Chart 8"/>
        <xdr:cNvGraphicFramePr/>
      </xdr:nvGraphicFramePr>
      <xdr:xfrm>
        <a:off x="3800475" y="25888950"/>
        <a:ext cx="3924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4" name="Chart 10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615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57" name="Chart 1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6158" name="Chart 14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6159" name="Text Box 15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6161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</xdr:colOff>
      <xdr:row>51</xdr:row>
      <xdr:rowOff>0</xdr:rowOff>
    </xdr:from>
    <xdr:ext cx="3905250" cy="1943100"/>
    <xdr:sp macro="" fLocksText="0" textlink="">
      <xdr:nvSpPr>
        <xdr:cNvPr id="6164" name="Text Box 20"/>
        <xdr:cNvSpPr txBox="1">
          <a:spLocks noChangeArrowheads="1"/>
        </xdr:cNvSpPr>
      </xdr:nvSpPr>
      <xdr:spPr bwMode="auto">
        <a:xfrm>
          <a:off x="3819525" y="11325225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85</xdr:row>
      <xdr:rowOff>0</xdr:rowOff>
    </xdr:from>
    <xdr:ext cx="3905250" cy="1943100"/>
    <xdr:sp macro="" fLocksText="0" textlink="">
      <xdr:nvSpPr>
        <xdr:cNvPr id="6165" name="Text Box 21"/>
        <xdr:cNvSpPr txBox="1">
          <a:spLocks noChangeArrowheads="1"/>
        </xdr:cNvSpPr>
      </xdr:nvSpPr>
      <xdr:spPr bwMode="auto">
        <a:xfrm>
          <a:off x="3819525" y="183642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104775</xdr:colOff>
      <xdr:row>101</xdr:row>
      <xdr:rowOff>0</xdr:rowOff>
    </xdr:from>
    <xdr:to>
      <xdr:col>1</xdr:col>
      <xdr:colOff>2276475</xdr:colOff>
      <xdr:row>101</xdr:row>
      <xdr:rowOff>352425</xdr:rowOff>
    </xdr:to>
    <xdr:pic>
      <xdr:nvPicPr>
        <xdr:cNvPr id="6166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81150" y="21393150"/>
          <a:ext cx="2171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4</xdr:col>
      <xdr:colOff>1295400</xdr:colOff>
      <xdr:row>122</xdr:row>
      <xdr:rowOff>142875</xdr:rowOff>
    </xdr:to>
    <xdr:sp macro="" fLocksText="0" textlink="">
      <xdr:nvSpPr>
        <xdr:cNvPr id="6167" name="Text Box 23"/>
        <xdr:cNvSpPr txBox="1">
          <a:spLocks noChangeArrowheads="1"/>
        </xdr:cNvSpPr>
      </xdr:nvSpPr>
      <xdr:spPr bwMode="auto">
        <a:xfrm>
          <a:off x="3810000" y="25393650"/>
          <a:ext cx="3905250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51</xdr:row>
      <xdr:rowOff>0</xdr:rowOff>
    </xdr:from>
    <xdr:ext cx="3914775" cy="1943100"/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810000" y="1132522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19</xdr:row>
      <xdr:rowOff>152400</xdr:rowOff>
    </xdr:from>
    <xdr:ext cx="3905250" cy="14573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819525" y="4762500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9" name="Chart 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38</xdr:row>
      <xdr:rowOff>9525</xdr:rowOff>
    </xdr:from>
    <xdr:to>
      <xdr:col>4</xdr:col>
      <xdr:colOff>1285875</xdr:colOff>
      <xdr:row>51</xdr:row>
      <xdr:rowOff>0</xdr:rowOff>
    </xdr:to>
    <xdr:graphicFrame macro="">
      <xdr:nvGraphicFramePr>
        <xdr:cNvPr id="4101" name="Chart 5"/>
        <xdr:cNvGraphicFramePr/>
      </xdr:nvGraphicFramePr>
      <xdr:xfrm>
        <a:off x="3800475" y="92297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72</xdr:row>
      <xdr:rowOff>9525</xdr:rowOff>
    </xdr:from>
    <xdr:to>
      <xdr:col>4</xdr:col>
      <xdr:colOff>1295400</xdr:colOff>
      <xdr:row>84</xdr:row>
      <xdr:rowOff>152400</xdr:rowOff>
    </xdr:to>
    <xdr:graphicFrame macro="">
      <xdr:nvGraphicFramePr>
        <xdr:cNvPr id="4103" name="Chart 7"/>
        <xdr:cNvGraphicFramePr/>
      </xdr:nvGraphicFramePr>
      <xdr:xfrm>
        <a:off x="3819525" y="16268700"/>
        <a:ext cx="38957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105</xdr:row>
      <xdr:rowOff>9525</xdr:rowOff>
    </xdr:from>
    <xdr:to>
      <xdr:col>5</xdr:col>
      <xdr:colOff>0</xdr:colOff>
      <xdr:row>118</xdr:row>
      <xdr:rowOff>0</xdr:rowOff>
    </xdr:to>
    <xdr:graphicFrame macro="">
      <xdr:nvGraphicFramePr>
        <xdr:cNvPr id="4106" name="Chart 10"/>
        <xdr:cNvGraphicFramePr/>
      </xdr:nvGraphicFramePr>
      <xdr:xfrm>
        <a:off x="3810000" y="231457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1295400</xdr:colOff>
      <xdr:row>122</xdr:row>
      <xdr:rowOff>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810000" y="25241250"/>
          <a:ext cx="3905250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oneCellAnchor>
    <xdr:from>
      <xdr:col>2</xdr:col>
      <xdr:colOff>0</xdr:colOff>
      <xdr:row>84</xdr:row>
      <xdr:rowOff>152400</xdr:rowOff>
    </xdr:from>
    <xdr:ext cx="3914775" cy="1790700"/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3810000" y="18354675"/>
          <a:ext cx="391477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714375</xdr:colOff>
      <xdr:row>33</xdr:row>
      <xdr:rowOff>0</xdr:rowOff>
    </xdr:from>
    <xdr:to>
      <xdr:col>1</xdr:col>
      <xdr:colOff>1562100</xdr:colOff>
      <xdr:row>34</xdr:row>
      <xdr:rowOff>28575</xdr:rowOff>
    </xdr:to>
    <xdr:pic>
      <xdr:nvPicPr>
        <xdr:cNvPr id="4117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90750" y="7315200"/>
          <a:ext cx="8477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685800</xdr:colOff>
      <xdr:row>67</xdr:row>
      <xdr:rowOff>9525</xdr:rowOff>
    </xdr:from>
    <xdr:to>
      <xdr:col>1</xdr:col>
      <xdr:colOff>1552575</xdr:colOff>
      <xdr:row>67</xdr:row>
      <xdr:rowOff>381000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62175" y="14363700"/>
          <a:ext cx="8667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100</xdr:row>
      <xdr:rowOff>19050</xdr:rowOff>
    </xdr:from>
    <xdr:to>
      <xdr:col>1</xdr:col>
      <xdr:colOff>2247900</xdr:colOff>
      <xdr:row>100</xdr:row>
      <xdr:rowOff>371475</xdr:rowOff>
    </xdr:to>
    <xdr:pic>
      <xdr:nvPicPr>
        <xdr:cNvPr id="4119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571625" y="21250275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20</xdr:row>
      <xdr:rowOff>0</xdr:rowOff>
    </xdr:from>
    <xdr:ext cx="3905250" cy="6381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762375" y="4772025"/>
          <a:ext cx="3905250" cy="638175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1.1.1.4 NIVEL DE HIDROCARBUROS.</a:t>
          </a:r>
        </a:p>
      </xdr:txBody>
    </xdr:sp>
    <xdr:clientData/>
  </xdr:oneCellAnchor>
  <xdr:twoCellAnchor>
    <xdr:from>
      <xdr:col>2</xdr:col>
      <xdr:colOff>9525</xdr:colOff>
      <xdr:row>7</xdr:row>
      <xdr:rowOff>0</xdr:rowOff>
    </xdr:from>
    <xdr:to>
      <xdr:col>4</xdr:col>
      <xdr:colOff>1304925</xdr:colOff>
      <xdr:row>20</xdr:row>
      <xdr:rowOff>0</xdr:rowOff>
    </xdr:to>
    <xdr:graphicFrame macro="">
      <xdr:nvGraphicFramePr>
        <xdr:cNvPr id="5122" name="Chart 2"/>
        <xdr:cNvGraphicFramePr/>
      </xdr:nvGraphicFramePr>
      <xdr:xfrm>
        <a:off x="3762375" y="2667000"/>
        <a:ext cx="39052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28575</xdr:rowOff>
    </xdr:from>
    <xdr:ext cx="3914775" cy="1104900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3810000" y="4800600"/>
          <a:ext cx="3914775" cy="11049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8196" name="Chart 4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48</xdr:row>
      <xdr:rowOff>9525</xdr:rowOff>
    </xdr:from>
    <xdr:ext cx="3895725" cy="1123950"/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3810000" y="10848975"/>
          <a:ext cx="389572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70</a:t>
          </a:r>
        </a:p>
      </xdr:txBody>
    </xdr:sp>
    <xdr:clientData/>
  </xdr:oneCellAnchor>
  <xdr:oneCellAnchor>
    <xdr:from>
      <xdr:col>2</xdr:col>
      <xdr:colOff>0</xdr:colOff>
      <xdr:row>77</xdr:row>
      <xdr:rowOff>9525</xdr:rowOff>
    </xdr:from>
    <xdr:ext cx="3914775" cy="1123950"/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3810000" y="1707832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60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</xdr:txBody>
    </xdr:sp>
    <xdr:clientData/>
  </xdr:oneCellAnchor>
  <xdr:oneCellAnchor>
    <xdr:from>
      <xdr:col>2</xdr:col>
      <xdr:colOff>0</xdr:colOff>
      <xdr:row>106</xdr:row>
      <xdr:rowOff>9525</xdr:rowOff>
    </xdr:from>
    <xdr:ext cx="3914775" cy="1123950"/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3810000" y="2330767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8200" name="Chart 8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4</xdr:col>
      <xdr:colOff>1304925</xdr:colOff>
      <xdr:row>77</xdr:row>
      <xdr:rowOff>0</xdr:rowOff>
    </xdr:to>
    <xdr:graphicFrame macro="">
      <xdr:nvGraphicFramePr>
        <xdr:cNvPr id="8201" name="Chart 9"/>
        <xdr:cNvGraphicFramePr/>
      </xdr:nvGraphicFramePr>
      <xdr:xfrm>
        <a:off x="3810000" y="1496377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93</xdr:row>
      <xdr:rowOff>9525</xdr:rowOff>
    </xdr:from>
    <xdr:to>
      <xdr:col>5</xdr:col>
      <xdr:colOff>0</xdr:colOff>
      <xdr:row>106</xdr:row>
      <xdr:rowOff>0</xdr:rowOff>
    </xdr:to>
    <xdr:graphicFrame macro="">
      <xdr:nvGraphicFramePr>
        <xdr:cNvPr id="8202" name="Chart 10"/>
        <xdr:cNvGraphicFramePr/>
      </xdr:nvGraphicFramePr>
      <xdr:xfrm>
        <a:off x="3810000" y="212026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2333625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8210" name="Chart 18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609600</xdr:colOff>
      <xdr:row>116</xdr:row>
      <xdr:rowOff>371475</xdr:rowOff>
    </xdr:from>
    <xdr:to>
      <xdr:col>1</xdr:col>
      <xdr:colOff>1714500</xdr:colOff>
      <xdr:row>118</xdr:row>
      <xdr:rowOff>9525</xdr:rowOff>
    </xdr:to>
    <xdr:pic>
      <xdr:nvPicPr>
        <xdr:cNvPr id="8215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85975" y="25507950"/>
          <a:ext cx="11049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134</xdr:row>
      <xdr:rowOff>152400</xdr:rowOff>
    </xdr:from>
    <xdr:ext cx="3914775" cy="1619250"/>
    <xdr:sp macro="" textlink="">
      <xdr:nvSpPr>
        <xdr:cNvPr id="8216" name="Text Box 24"/>
        <xdr:cNvSpPr txBox="1">
          <a:spLocks noChangeArrowheads="1"/>
        </xdr:cNvSpPr>
      </xdr:nvSpPr>
      <xdr:spPr bwMode="auto">
        <a:xfrm>
          <a:off x="3810000" y="29517975"/>
          <a:ext cx="391477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cuadno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666750</xdr:colOff>
      <xdr:row>149</xdr:row>
      <xdr:rowOff>0</xdr:rowOff>
    </xdr:from>
    <xdr:to>
      <xdr:col>1</xdr:col>
      <xdr:colOff>1781175</xdr:colOff>
      <xdr:row>149</xdr:row>
      <xdr:rowOff>371475</xdr:rowOff>
    </xdr:to>
    <xdr:pic>
      <xdr:nvPicPr>
        <xdr:cNvPr id="821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43125" y="3223260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5</xdr:col>
      <xdr:colOff>0</xdr:colOff>
      <xdr:row>167</xdr:row>
      <xdr:rowOff>0</xdr:rowOff>
    </xdr:to>
    <xdr:graphicFrame macro="">
      <xdr:nvGraphicFramePr>
        <xdr:cNvPr id="8218" name="Chart 26"/>
        <xdr:cNvGraphicFramePr/>
      </xdr:nvGraphicFramePr>
      <xdr:xfrm>
        <a:off x="3810000" y="341376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167</xdr:row>
      <xdr:rowOff>9525</xdr:rowOff>
    </xdr:from>
    <xdr:ext cx="3914775" cy="1123950"/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3810000" y="362521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</xdr:txBody>
    </xdr:sp>
    <xdr:clientData/>
  </xdr:oneCellAnchor>
  <xdr:twoCellAnchor>
    <xdr:from>
      <xdr:col>2</xdr:col>
      <xdr:colOff>0</xdr:colOff>
      <xdr:row>183</xdr:row>
      <xdr:rowOff>0</xdr:rowOff>
    </xdr:from>
    <xdr:to>
      <xdr:col>5</xdr:col>
      <xdr:colOff>0</xdr:colOff>
      <xdr:row>196</xdr:row>
      <xdr:rowOff>0</xdr:rowOff>
    </xdr:to>
    <xdr:graphicFrame macro="">
      <xdr:nvGraphicFramePr>
        <xdr:cNvPr id="8220" name="Chart 28"/>
        <xdr:cNvGraphicFramePr/>
      </xdr:nvGraphicFramePr>
      <xdr:xfrm>
        <a:off x="3810000" y="40366950"/>
        <a:ext cx="39147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66675</xdr:colOff>
      <xdr:row>178</xdr:row>
      <xdr:rowOff>28575</xdr:rowOff>
    </xdr:from>
    <xdr:to>
      <xdr:col>1</xdr:col>
      <xdr:colOff>2314575</xdr:colOff>
      <xdr:row>178</xdr:row>
      <xdr:rowOff>381000</xdr:rowOff>
    </xdr:to>
    <xdr:pic>
      <xdr:nvPicPr>
        <xdr:cNvPr id="8223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43050" y="38490525"/>
          <a:ext cx="22479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196</xdr:row>
      <xdr:rowOff>9525</xdr:rowOff>
    </xdr:from>
    <xdr:to>
      <xdr:col>5</xdr:col>
      <xdr:colOff>0</xdr:colOff>
      <xdr:row>202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3810000" y="42481500"/>
          <a:ext cx="391477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19</xdr:row>
      <xdr:rowOff>142875</xdr:rowOff>
    </xdr:to>
    <xdr:graphicFrame macro="">
      <xdr:nvGraphicFramePr>
        <xdr:cNvPr id="22529" name="Chart 1"/>
        <xdr:cNvGraphicFramePr/>
      </xdr:nvGraphicFramePr>
      <xdr:xfrm>
        <a:off x="3810000" y="2667000"/>
        <a:ext cx="39052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19</xdr:row>
      <xdr:rowOff>152400</xdr:rowOff>
    </xdr:from>
    <xdr:ext cx="3914775" cy="1143000"/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3810000" y="476250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35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50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76200</xdr:colOff>
      <xdr:row>44</xdr:row>
      <xdr:rowOff>0</xdr:rowOff>
    </xdr:from>
    <xdr:to>
      <xdr:col>4</xdr:col>
      <xdr:colOff>704850</xdr:colOff>
      <xdr:row>44</xdr:row>
      <xdr:rowOff>0</xdr:rowOff>
    </xdr:to>
    <xdr:graphicFrame macro="">
      <xdr:nvGraphicFramePr>
        <xdr:cNvPr id="22531" name="Chart 3"/>
        <xdr:cNvGraphicFramePr/>
      </xdr:nvGraphicFramePr>
      <xdr:xfrm>
        <a:off x="3886200" y="101917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4</xdr:col>
      <xdr:colOff>1295400</xdr:colOff>
      <xdr:row>49</xdr:row>
      <xdr:rowOff>0</xdr:rowOff>
    </xdr:to>
    <xdr:graphicFrame macro="">
      <xdr:nvGraphicFramePr>
        <xdr:cNvPr id="22532" name="Chart 4"/>
        <xdr:cNvGraphicFramePr/>
      </xdr:nvGraphicFramePr>
      <xdr:xfrm>
        <a:off x="3810000" y="8896350"/>
        <a:ext cx="39052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48</xdr:row>
      <xdr:rowOff>152400</xdr:rowOff>
    </xdr:from>
    <xdr:ext cx="3914775" cy="1143000"/>
    <xdr:sp macro="" textlink="">
      <xdr:nvSpPr>
        <xdr:cNvPr id="22533" name="Text Box 5"/>
        <xdr:cNvSpPr txBox="1">
          <a:spLocks noChangeArrowheads="1"/>
        </xdr:cNvSpPr>
      </xdr:nvSpPr>
      <xdr:spPr bwMode="auto">
        <a:xfrm>
          <a:off x="3810000" y="1099185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22534" name="Chart 6"/>
        <xdr:cNvGraphicFramePr/>
      </xdr:nvGraphicFramePr>
      <xdr:xfrm>
        <a:off x="3810000" y="151352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14775" cy="1123950"/>
    <xdr:sp macro="" textlink="">
      <xdr:nvSpPr>
        <xdr:cNvPr id="22535" name="Text Box 7"/>
        <xdr:cNvSpPr txBox="1">
          <a:spLocks noChangeArrowheads="1"/>
        </xdr:cNvSpPr>
      </xdr:nvSpPr>
      <xdr:spPr bwMode="auto">
        <a:xfrm>
          <a:off x="3810000" y="172402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9525</xdr:rowOff>
    </xdr:from>
    <xdr:to>
      <xdr:col>5</xdr:col>
      <xdr:colOff>0</xdr:colOff>
      <xdr:row>107</xdr:row>
      <xdr:rowOff>9525</xdr:rowOff>
    </xdr:to>
    <xdr:graphicFrame macro="">
      <xdr:nvGraphicFramePr>
        <xdr:cNvPr id="22536" name="Chart 8"/>
        <xdr:cNvGraphicFramePr/>
      </xdr:nvGraphicFramePr>
      <xdr:xfrm>
        <a:off x="3810000" y="21364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107</xdr:row>
      <xdr:rowOff>9525</xdr:rowOff>
    </xdr:from>
    <xdr:ext cx="3914775" cy="1123950"/>
    <xdr:sp macro="" textlink="">
      <xdr:nvSpPr>
        <xdr:cNvPr id="22537" name="Text Box 9"/>
        <xdr:cNvSpPr txBox="1">
          <a:spLocks noChangeArrowheads="1"/>
        </xdr:cNvSpPr>
      </xdr:nvSpPr>
      <xdr:spPr bwMode="auto">
        <a:xfrm>
          <a:off x="3810000" y="2346960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135</xdr:row>
      <xdr:rowOff>152400</xdr:rowOff>
    </xdr:from>
    <xdr:ext cx="3914775" cy="1628775"/>
    <xdr:sp macro="" textlink="">
      <xdr:nvSpPr>
        <xdr:cNvPr id="22538" name="Text Box 10"/>
        <xdr:cNvSpPr txBox="1">
          <a:spLocks noChangeArrowheads="1"/>
        </xdr:cNvSpPr>
      </xdr:nvSpPr>
      <xdr:spPr bwMode="auto">
        <a:xfrm>
          <a:off x="3810000" y="29679900"/>
          <a:ext cx="3914775" cy="1628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676275</xdr:colOff>
      <xdr:row>118</xdr:row>
      <xdr:rowOff>0</xdr:rowOff>
    </xdr:from>
    <xdr:to>
      <xdr:col>1</xdr:col>
      <xdr:colOff>1828800</xdr:colOff>
      <xdr:row>119</xdr:row>
      <xdr:rowOff>38100</xdr:rowOff>
    </xdr:to>
    <xdr:pic>
      <xdr:nvPicPr>
        <xdr:cNvPr id="2253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25679400"/>
          <a:ext cx="115252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5</xdr:col>
      <xdr:colOff>0</xdr:colOff>
      <xdr:row>136</xdr:row>
      <xdr:rowOff>0</xdr:rowOff>
    </xdr:to>
    <xdr:graphicFrame macro="">
      <xdr:nvGraphicFramePr>
        <xdr:cNvPr id="22540" name="Chart 12"/>
        <xdr:cNvGraphicFramePr/>
      </xdr:nvGraphicFramePr>
      <xdr:xfrm>
        <a:off x="3810000" y="275844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714375</xdr:colOff>
      <xdr:row>150</xdr:row>
      <xdr:rowOff>9525</xdr:rowOff>
    </xdr:from>
    <xdr:to>
      <xdr:col>1</xdr:col>
      <xdr:colOff>1828800</xdr:colOff>
      <xdr:row>150</xdr:row>
      <xdr:rowOff>381000</xdr:rowOff>
    </xdr:to>
    <xdr:pic>
      <xdr:nvPicPr>
        <xdr:cNvPr id="22541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190750" y="3240405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4</xdr:col>
      <xdr:colOff>1295400</xdr:colOff>
      <xdr:row>168</xdr:row>
      <xdr:rowOff>0</xdr:rowOff>
    </xdr:to>
    <xdr:graphicFrame macro="">
      <xdr:nvGraphicFramePr>
        <xdr:cNvPr id="22542" name="Chart 14"/>
        <xdr:cNvGraphicFramePr/>
      </xdr:nvGraphicFramePr>
      <xdr:xfrm>
        <a:off x="3810000" y="34299525"/>
        <a:ext cx="390525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168</xdr:row>
      <xdr:rowOff>0</xdr:rowOff>
    </xdr:from>
    <xdr:to>
      <xdr:col>5</xdr:col>
      <xdr:colOff>0</xdr:colOff>
      <xdr:row>176</xdr:row>
      <xdr:rowOff>0</xdr:rowOff>
    </xdr:to>
    <xdr:sp macro="" textlink="">
      <xdr:nvSpPr>
        <xdr:cNvPr id="22543" name="Text Box 15"/>
        <xdr:cNvSpPr txBox="1">
          <a:spLocks noChangeArrowheads="1"/>
        </xdr:cNvSpPr>
      </xdr:nvSpPr>
      <xdr:spPr bwMode="auto">
        <a:xfrm>
          <a:off x="3810000" y="3640455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</xdr:colOff>
      <xdr:row>180</xdr:row>
      <xdr:rowOff>0</xdr:rowOff>
    </xdr:from>
    <xdr:to>
      <xdr:col>1</xdr:col>
      <xdr:colOff>2286000</xdr:colOff>
      <xdr:row>180</xdr:row>
      <xdr:rowOff>361950</xdr:rowOff>
    </xdr:to>
    <xdr:pic>
      <xdr:nvPicPr>
        <xdr:cNvPr id="22544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14475" y="38785800"/>
          <a:ext cx="22479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5</xdr:col>
      <xdr:colOff>0</xdr:colOff>
      <xdr:row>198</xdr:row>
      <xdr:rowOff>0</xdr:rowOff>
    </xdr:to>
    <xdr:graphicFrame macro="">
      <xdr:nvGraphicFramePr>
        <xdr:cNvPr id="22545" name="Chart 17"/>
        <xdr:cNvGraphicFramePr/>
      </xdr:nvGraphicFramePr>
      <xdr:xfrm>
        <a:off x="3810000" y="40690800"/>
        <a:ext cx="39147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198</xdr:row>
      <xdr:rowOff>0</xdr:rowOff>
    </xdr:from>
    <xdr:to>
      <xdr:col>5</xdr:col>
      <xdr:colOff>0</xdr:colOff>
      <xdr:row>204</xdr:row>
      <xdr:rowOff>0</xdr:rowOff>
    </xdr:to>
    <xdr:sp macro="" textlink="">
      <xdr:nvSpPr>
        <xdr:cNvPr id="22546" name="Text Box 18"/>
        <xdr:cNvSpPr txBox="1">
          <a:spLocks noChangeArrowheads="1"/>
        </xdr:cNvSpPr>
      </xdr:nvSpPr>
      <xdr:spPr bwMode="auto">
        <a:xfrm>
          <a:off x="3810000" y="427958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313" name="Text Box 1025"/>
        <xdr:cNvSpPr txBox="1">
          <a:spLocks noChangeArrowheads="1"/>
        </xdr:cNvSpPr>
      </xdr:nvSpPr>
      <xdr:spPr bwMode="auto">
        <a:xfrm>
          <a:off x="3810000" y="47720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1.1.1.7 SPRAY MARINO.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spray marino es la fracción atmosférica procedente del mar , producida por el viento y el oleaje.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signo es positibo si aumenta el spray marino y negativo si disminuye. Se considerarán sólo las comunicaciones de vegetación de alto o medio valor.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</xdr:row>
      <xdr:rowOff>371475</xdr:rowOff>
    </xdr:from>
    <xdr:to>
      <xdr:col>5</xdr:col>
      <xdr:colOff>0</xdr:colOff>
      <xdr:row>20</xdr:row>
      <xdr:rowOff>0</xdr:rowOff>
    </xdr:to>
    <xdr:graphicFrame macro="">
      <xdr:nvGraphicFramePr>
        <xdr:cNvPr id="13315" name="Chart 1027"/>
        <xdr:cNvGraphicFramePr/>
      </xdr:nvGraphicFramePr>
      <xdr:xfrm>
        <a:off x="3810000" y="2657475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2124075</xdr:colOff>
      <xdr:row>3</xdr:row>
      <xdr:rowOff>0</xdr:rowOff>
    </xdr:to>
    <xdr:pic>
      <xdr:nvPicPr>
        <xdr:cNvPr id="13316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16764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4</xdr:col>
      <xdr:colOff>1295400</xdr:colOff>
      <xdr:row>25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3810000" y="4772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9525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3810000" y="2667000"/>
        <a:ext cx="39243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4</xdr:col>
      <xdr:colOff>1295400</xdr:colOff>
      <xdr:row>47</xdr:row>
      <xdr:rowOff>9525</xdr:rowOff>
    </xdr:to>
    <xdr:graphicFrame macro="">
      <xdr:nvGraphicFramePr>
        <xdr:cNvPr id="15367" name="Chart 7"/>
        <xdr:cNvGraphicFramePr/>
      </xdr:nvGraphicFramePr>
      <xdr:xfrm>
        <a:off x="3810000" y="8572500"/>
        <a:ext cx="39052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4</xdr:col>
      <xdr:colOff>1295400</xdr:colOff>
      <xdr:row>52</xdr:row>
      <xdr:rowOff>0</xdr:rowOff>
    </xdr:to>
    <xdr:sp macro="" fLocksText="0" textlink="">
      <xdr:nvSpPr>
        <xdr:cNvPr id="15368" name="Text Box 8"/>
        <xdr:cNvSpPr txBox="1">
          <a:spLocks noChangeArrowheads="1"/>
        </xdr:cNvSpPr>
      </xdr:nvSpPr>
      <xdr:spPr bwMode="auto">
        <a:xfrm>
          <a:off x="3810000" y="106775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1295400</xdr:colOff>
      <xdr:row>74</xdr:row>
      <xdr:rowOff>9525</xdr:rowOff>
    </xdr:to>
    <xdr:graphicFrame macro="">
      <xdr:nvGraphicFramePr>
        <xdr:cNvPr id="15369" name="Chart 9"/>
        <xdr:cNvGraphicFramePr/>
      </xdr:nvGraphicFramePr>
      <xdr:xfrm>
        <a:off x="3810000" y="14478000"/>
        <a:ext cx="39052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4</xdr:col>
      <xdr:colOff>1295400</xdr:colOff>
      <xdr:row>79</xdr:row>
      <xdr:rowOff>0</xdr:rowOff>
    </xdr:to>
    <xdr:sp macro="" fLocksText="0" textlink="">
      <xdr:nvSpPr>
        <xdr:cNvPr id="15370" name="Text Box 10"/>
        <xdr:cNvSpPr txBox="1">
          <a:spLocks noChangeArrowheads="1"/>
        </xdr:cNvSpPr>
      </xdr:nvSpPr>
      <xdr:spPr bwMode="auto">
        <a:xfrm>
          <a:off x="3810000" y="16583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5" sqref="B15"/>
    </sheetView>
  </sheetViews>
  <sheetFormatPr defaultColWidth="13.33203125" defaultRowHeight="11.25"/>
  <cols>
    <col min="1" max="1" width="13.33203125" style="143" customWidth="1"/>
    <col min="2" max="2" width="114.5" style="143" customWidth="1"/>
    <col min="3" max="16384" width="13.33203125" style="143" customWidth="1"/>
  </cols>
  <sheetData>
    <row r="1" spans="1:2" ht="11.25">
      <c r="A1" s="143" t="s">
        <v>196</v>
      </c>
      <c r="B1" s="143" t="s">
        <v>197</v>
      </c>
    </row>
    <row r="3" spans="1:2" ht="11.25">
      <c r="A3" s="143" t="s">
        <v>198</v>
      </c>
      <c r="B3" s="143" t="s">
        <v>199</v>
      </c>
    </row>
    <row r="4" ht="11.25">
      <c r="B4" s="143" t="s">
        <v>200</v>
      </c>
    </row>
    <row r="5" ht="11.25">
      <c r="B5" s="143" t="s">
        <v>201</v>
      </c>
    </row>
    <row r="6" ht="11.25">
      <c r="B6" s="143" t="s">
        <v>202</v>
      </c>
    </row>
    <row r="8" spans="1:2" ht="11.25">
      <c r="A8" s="143" t="s">
        <v>203</v>
      </c>
      <c r="B8" s="143" t="s">
        <v>204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4">
      <selection activeCell="H34" sqref="H3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32</v>
      </c>
      <c r="C1" s="10" t="s">
        <v>10</v>
      </c>
      <c r="D1" s="92" t="s">
        <v>185</v>
      </c>
      <c r="E1" s="12" t="s">
        <v>141</v>
      </c>
    </row>
    <row r="2" spans="1:5" ht="30" customHeight="1">
      <c r="A2" s="13" t="s">
        <v>7</v>
      </c>
      <c r="B2" s="1" t="s">
        <v>205</v>
      </c>
      <c r="C2" s="60"/>
      <c r="D2" s="2"/>
      <c r="E2" s="108"/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"/>
      <c r="C4" s="62"/>
      <c r="D4" s="63"/>
      <c r="E4" s="64"/>
    </row>
    <row r="5" spans="1:5" ht="30" customHeight="1">
      <c r="A5" s="13" t="s">
        <v>9</v>
      </c>
      <c r="B5" s="1" t="s">
        <v>167</v>
      </c>
      <c r="C5" s="4" t="s">
        <v>11</v>
      </c>
      <c r="D5" s="6">
        <v>0.5</v>
      </c>
      <c r="E5" s="65"/>
    </row>
    <row r="6" spans="1:5" ht="30" customHeight="1" thickBot="1">
      <c r="A6" s="14" t="s">
        <v>16</v>
      </c>
      <c r="B6" s="20" t="s">
        <v>181</v>
      </c>
      <c r="C6" s="5" t="s">
        <v>0</v>
      </c>
      <c r="D6" s="7">
        <f>IF(D5&lt;0,"valor del indicador fuera de rango",IF(D5&lt;=1,((-0.4*D5^2)+(1.4*D5)),"valor del indicador fuera rango"))</f>
        <v>0.6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96">
        <v>0</v>
      </c>
      <c r="B8" s="24">
        <f>-0.4*A8^2+1.4*A8</f>
        <v>0</v>
      </c>
      <c r="C8" s="124"/>
      <c r="D8" s="124"/>
      <c r="E8" s="125"/>
    </row>
    <row r="9" spans="1:5" ht="12.95" customHeight="1">
      <c r="A9" s="97">
        <f>A8+0.05</f>
        <v>0.05</v>
      </c>
      <c r="B9" s="24">
        <f aca="true" t="shared" si="0" ref="B9:B25">-0.4*A9^2+1.4*A9</f>
        <v>0.06899999999999999</v>
      </c>
      <c r="C9" s="126"/>
      <c r="D9" s="124"/>
      <c r="E9" s="125"/>
    </row>
    <row r="10" spans="1:5" ht="12.95" customHeight="1">
      <c r="A10" s="97">
        <f aca="true" t="shared" si="1" ref="A10:A20">A9+0.05</f>
        <v>0.1</v>
      </c>
      <c r="B10" s="24">
        <f t="shared" si="0"/>
        <v>0.13599999999999998</v>
      </c>
      <c r="C10" s="126"/>
      <c r="D10" s="124"/>
      <c r="E10" s="125"/>
    </row>
    <row r="11" spans="1:5" ht="12.95" customHeight="1">
      <c r="A11" s="97">
        <f t="shared" si="1"/>
        <v>0.15000000000000002</v>
      </c>
      <c r="B11" s="24">
        <f t="shared" si="0"/>
        <v>0.201</v>
      </c>
      <c r="C11" s="126"/>
      <c r="D11" s="124"/>
      <c r="E11" s="125"/>
    </row>
    <row r="12" spans="1:5" ht="12.95" customHeight="1">
      <c r="A12" s="97">
        <f t="shared" si="1"/>
        <v>0.2</v>
      </c>
      <c r="B12" s="24">
        <f t="shared" si="0"/>
        <v>0.26399999999999996</v>
      </c>
      <c r="C12" s="126"/>
      <c r="D12" s="124"/>
      <c r="E12" s="125"/>
    </row>
    <row r="13" spans="1:5" ht="12.95" customHeight="1">
      <c r="A13" s="97">
        <f t="shared" si="1"/>
        <v>0.25</v>
      </c>
      <c r="B13" s="24">
        <f t="shared" si="0"/>
        <v>0.32499999999999996</v>
      </c>
      <c r="C13" s="126"/>
      <c r="D13" s="124"/>
      <c r="E13" s="125"/>
    </row>
    <row r="14" spans="1:5" ht="12.95" customHeight="1">
      <c r="A14" s="97">
        <f t="shared" si="1"/>
        <v>0.3</v>
      </c>
      <c r="B14" s="24">
        <f t="shared" si="0"/>
        <v>0.384</v>
      </c>
      <c r="C14" s="126"/>
      <c r="D14" s="124"/>
      <c r="E14" s="125"/>
    </row>
    <row r="15" spans="1:5" ht="12.95" customHeight="1">
      <c r="A15" s="97">
        <f t="shared" si="1"/>
        <v>0.35</v>
      </c>
      <c r="B15" s="24">
        <f t="shared" si="0"/>
        <v>0.44099999999999995</v>
      </c>
      <c r="C15" s="126"/>
      <c r="D15" s="124"/>
      <c r="E15" s="125"/>
    </row>
    <row r="16" spans="1:5" ht="12.95" customHeight="1">
      <c r="A16" s="97">
        <f t="shared" si="1"/>
        <v>0.39999999999999997</v>
      </c>
      <c r="B16" s="24">
        <f t="shared" si="0"/>
        <v>0.49599999999999994</v>
      </c>
      <c r="C16" s="126"/>
      <c r="D16" s="124"/>
      <c r="E16" s="125"/>
    </row>
    <row r="17" spans="1:5" ht="12.95" customHeight="1">
      <c r="A17" s="97">
        <f t="shared" si="1"/>
        <v>0.44999999999999996</v>
      </c>
      <c r="B17" s="24">
        <f t="shared" si="0"/>
        <v>0.5489999999999999</v>
      </c>
      <c r="C17" s="126"/>
      <c r="D17" s="124"/>
      <c r="E17" s="125"/>
    </row>
    <row r="18" spans="1:5" ht="12.95" customHeight="1">
      <c r="A18" s="97">
        <f t="shared" si="1"/>
        <v>0.49999999999999994</v>
      </c>
      <c r="B18" s="24">
        <f t="shared" si="0"/>
        <v>0.5999999999999999</v>
      </c>
      <c r="C18" s="126"/>
      <c r="D18" s="124"/>
      <c r="E18" s="125"/>
    </row>
    <row r="19" spans="1:5" ht="12.95" customHeight="1">
      <c r="A19" s="97">
        <f t="shared" si="1"/>
        <v>0.5499999999999999</v>
      </c>
      <c r="B19" s="24">
        <f t="shared" si="0"/>
        <v>0.6489999999999999</v>
      </c>
      <c r="C19" s="126"/>
      <c r="D19" s="124"/>
      <c r="E19" s="125"/>
    </row>
    <row r="20" spans="1:5" ht="12.95" customHeight="1">
      <c r="A20" s="97">
        <f t="shared" si="1"/>
        <v>0.6</v>
      </c>
      <c r="B20" s="24">
        <f t="shared" si="0"/>
        <v>0.696</v>
      </c>
      <c r="C20" s="126"/>
      <c r="D20" s="124"/>
      <c r="E20" s="125"/>
    </row>
    <row r="21" spans="1:5" ht="12.95" customHeight="1">
      <c r="A21" s="97">
        <v>0.7</v>
      </c>
      <c r="B21" s="24">
        <f t="shared" si="0"/>
        <v>0.7839999999999999</v>
      </c>
      <c r="C21" s="126"/>
      <c r="D21" s="124"/>
      <c r="E21" s="125"/>
    </row>
    <row r="22" spans="1:5" ht="12.95" customHeight="1">
      <c r="A22" s="97">
        <v>0.8</v>
      </c>
      <c r="B22" s="24">
        <f t="shared" si="0"/>
        <v>0.8639999999999999</v>
      </c>
      <c r="C22" s="126"/>
      <c r="D22" s="124"/>
      <c r="E22" s="125"/>
    </row>
    <row r="23" spans="1:5" ht="12.95" customHeight="1">
      <c r="A23" s="97">
        <v>0.85</v>
      </c>
      <c r="B23" s="24">
        <f t="shared" si="0"/>
        <v>0.901</v>
      </c>
      <c r="C23" s="126"/>
      <c r="D23" s="124"/>
      <c r="E23" s="125"/>
    </row>
    <row r="24" spans="1:5" ht="12.95" customHeight="1">
      <c r="A24" s="97">
        <v>0.9</v>
      </c>
      <c r="B24" s="24">
        <f t="shared" si="0"/>
        <v>0.9359999999999999</v>
      </c>
      <c r="C24" s="126"/>
      <c r="D24" s="124"/>
      <c r="E24" s="125"/>
    </row>
    <row r="25" spans="1:5" ht="12.95" customHeight="1" thickBot="1">
      <c r="A25" s="139">
        <v>1</v>
      </c>
      <c r="B25" s="140">
        <f t="shared" si="0"/>
        <v>0.9999999999999999</v>
      </c>
      <c r="C25" s="127"/>
      <c r="D25" s="128"/>
      <c r="E25" s="129"/>
    </row>
    <row r="26" ht="12.95" customHeight="1" thickTop="1"/>
    <row r="27" ht="12.95" customHeight="1" thickBot="1"/>
    <row r="28" spans="1:5" ht="30" customHeight="1" thickTop="1">
      <c r="A28" s="8" t="s">
        <v>12</v>
      </c>
      <c r="B28" s="9">
        <v>33</v>
      </c>
      <c r="C28" s="10" t="s">
        <v>10</v>
      </c>
      <c r="D28" s="11" t="s">
        <v>186</v>
      </c>
      <c r="E28" s="12" t="s">
        <v>141</v>
      </c>
    </row>
    <row r="29" spans="1:5" ht="30" customHeight="1">
      <c r="A29" s="13" t="s">
        <v>7</v>
      </c>
      <c r="B29" s="1" t="s">
        <v>206</v>
      </c>
      <c r="C29" s="60"/>
      <c r="D29" s="2"/>
      <c r="E29" s="108"/>
    </row>
    <row r="30" spans="1:5" ht="30" customHeight="1">
      <c r="A30" s="13" t="s">
        <v>15</v>
      </c>
      <c r="B30" s="1"/>
      <c r="C30" s="60"/>
      <c r="D30" s="2"/>
      <c r="E30" s="61"/>
    </row>
    <row r="31" spans="1:5" ht="30" customHeight="1" thickBot="1">
      <c r="A31" s="13" t="s">
        <v>8</v>
      </c>
      <c r="B31" s="1"/>
      <c r="C31" s="62"/>
      <c r="D31" s="63"/>
      <c r="E31" s="64"/>
    </row>
    <row r="32" spans="1:5" ht="30" customHeight="1">
      <c r="A32" s="13" t="s">
        <v>9</v>
      </c>
      <c r="B32" s="1" t="s">
        <v>167</v>
      </c>
      <c r="C32" s="4" t="s">
        <v>11</v>
      </c>
      <c r="D32" s="6">
        <v>0.5</v>
      </c>
      <c r="E32" s="65"/>
    </row>
    <row r="33" spans="1:5" ht="30" customHeight="1" thickBot="1">
      <c r="A33" s="14" t="s">
        <v>16</v>
      </c>
      <c r="B33" s="20" t="s">
        <v>181</v>
      </c>
      <c r="C33" s="5" t="s">
        <v>0</v>
      </c>
      <c r="D33" s="7">
        <f>IF(D32&lt;0,"valor del indicador fuera de rango",IF(D32&lt;=1,((-0.289*D32^2)+(1.19*D32)),"valor del indicador fuera rango"))</f>
        <v>0.5227499999999999</v>
      </c>
      <c r="E33" s="66"/>
    </row>
    <row r="34" spans="1:5" ht="30" customHeight="1">
      <c r="A34" s="15" t="s">
        <v>14</v>
      </c>
      <c r="B34" s="3" t="s">
        <v>0</v>
      </c>
      <c r="C34" s="147" t="s">
        <v>13</v>
      </c>
      <c r="D34" s="148"/>
      <c r="E34" s="149"/>
    </row>
    <row r="35" spans="1:5" ht="12.95" customHeight="1">
      <c r="A35" s="96">
        <v>0</v>
      </c>
      <c r="B35" s="24">
        <f>-0.289*A35^2+1.19*A35</f>
        <v>0</v>
      </c>
      <c r="C35" s="124"/>
      <c r="D35" s="124"/>
      <c r="E35" s="125"/>
    </row>
    <row r="36" spans="1:5" ht="12.95" customHeight="1">
      <c r="A36" s="97">
        <f>A35+0.05</f>
        <v>0.05</v>
      </c>
      <c r="B36" s="24">
        <f aca="true" t="shared" si="2" ref="B36:B52">-0.289*A36^2+1.19*A36</f>
        <v>0.058777499999999996</v>
      </c>
      <c r="C36" s="126"/>
      <c r="D36" s="124"/>
      <c r="E36" s="125"/>
    </row>
    <row r="37" spans="1:5" ht="12.95" customHeight="1">
      <c r="A37" s="97">
        <f aca="true" t="shared" si="3" ref="A37:A47">A36+0.05</f>
        <v>0.1</v>
      </c>
      <c r="B37" s="24">
        <f t="shared" si="2"/>
        <v>0.11610999999999999</v>
      </c>
      <c r="C37" s="126"/>
      <c r="D37" s="124"/>
      <c r="E37" s="125"/>
    </row>
    <row r="38" spans="1:5" ht="12.95" customHeight="1">
      <c r="A38" s="97">
        <f t="shared" si="3"/>
        <v>0.15000000000000002</v>
      </c>
      <c r="B38" s="24">
        <f t="shared" si="2"/>
        <v>0.17199750000000003</v>
      </c>
      <c r="C38" s="126"/>
      <c r="D38" s="124"/>
      <c r="E38" s="125"/>
    </row>
    <row r="39" spans="1:5" ht="12.95" customHeight="1">
      <c r="A39" s="97">
        <f t="shared" si="3"/>
        <v>0.2</v>
      </c>
      <c r="B39" s="24">
        <f t="shared" si="2"/>
        <v>0.22643999999999997</v>
      </c>
      <c r="C39" s="126"/>
      <c r="D39" s="124"/>
      <c r="E39" s="125"/>
    </row>
    <row r="40" spans="1:5" ht="12.95" customHeight="1">
      <c r="A40" s="97">
        <f t="shared" si="3"/>
        <v>0.25</v>
      </c>
      <c r="B40" s="24">
        <f t="shared" si="2"/>
        <v>0.2794375</v>
      </c>
      <c r="C40" s="126"/>
      <c r="D40" s="124"/>
      <c r="E40" s="125"/>
    </row>
    <row r="41" spans="1:5" ht="12.95" customHeight="1">
      <c r="A41" s="97">
        <f t="shared" si="3"/>
        <v>0.3</v>
      </c>
      <c r="B41" s="24">
        <f t="shared" si="2"/>
        <v>0.33099</v>
      </c>
      <c r="C41" s="126"/>
      <c r="D41" s="124"/>
      <c r="E41" s="125"/>
    </row>
    <row r="42" spans="1:5" ht="12.95" customHeight="1">
      <c r="A42" s="97">
        <f t="shared" si="3"/>
        <v>0.35</v>
      </c>
      <c r="B42" s="24">
        <f t="shared" si="2"/>
        <v>0.3810975</v>
      </c>
      <c r="C42" s="126"/>
      <c r="D42" s="124"/>
      <c r="E42" s="125"/>
    </row>
    <row r="43" spans="1:5" ht="12.95" customHeight="1">
      <c r="A43" s="97">
        <f t="shared" si="3"/>
        <v>0.39999999999999997</v>
      </c>
      <c r="B43" s="24">
        <f t="shared" si="2"/>
        <v>0.4297599999999999</v>
      </c>
      <c r="C43" s="126"/>
      <c r="D43" s="124"/>
      <c r="E43" s="125"/>
    </row>
    <row r="44" spans="1:5" ht="12.95" customHeight="1">
      <c r="A44" s="97">
        <f t="shared" si="3"/>
        <v>0.44999999999999996</v>
      </c>
      <c r="B44" s="24">
        <f t="shared" si="2"/>
        <v>0.4769775</v>
      </c>
      <c r="C44" s="126"/>
      <c r="D44" s="124"/>
      <c r="E44" s="125"/>
    </row>
    <row r="45" spans="1:5" ht="12.95" customHeight="1">
      <c r="A45" s="97">
        <f t="shared" si="3"/>
        <v>0.49999999999999994</v>
      </c>
      <c r="B45" s="24">
        <f t="shared" si="2"/>
        <v>0.5227499999999998</v>
      </c>
      <c r="C45" s="126"/>
      <c r="D45" s="124"/>
      <c r="E45" s="125"/>
    </row>
    <row r="46" spans="1:5" ht="12.95" customHeight="1">
      <c r="A46" s="97">
        <f t="shared" si="3"/>
        <v>0.5499999999999999</v>
      </c>
      <c r="B46" s="24">
        <f t="shared" si="2"/>
        <v>0.5670774999999999</v>
      </c>
      <c r="C46" s="126"/>
      <c r="D46" s="124"/>
      <c r="E46" s="125"/>
    </row>
    <row r="47" spans="1:5" ht="12.95" customHeight="1">
      <c r="A47" s="97">
        <f t="shared" si="3"/>
        <v>0.6</v>
      </c>
      <c r="B47" s="24">
        <f t="shared" si="2"/>
        <v>0.60996</v>
      </c>
      <c r="C47" s="126"/>
      <c r="D47" s="124"/>
      <c r="E47" s="125"/>
    </row>
    <row r="48" spans="1:5" ht="12.95" customHeight="1">
      <c r="A48" s="97">
        <v>0.7</v>
      </c>
      <c r="B48" s="24">
        <f t="shared" si="2"/>
        <v>0.69139</v>
      </c>
      <c r="C48" s="126"/>
      <c r="D48" s="124"/>
      <c r="E48" s="125"/>
    </row>
    <row r="49" spans="1:5" ht="12.95" customHeight="1">
      <c r="A49" s="97">
        <v>0.8</v>
      </c>
      <c r="B49" s="24">
        <f t="shared" si="2"/>
        <v>0.7670399999999999</v>
      </c>
      <c r="C49" s="126"/>
      <c r="D49" s="124"/>
      <c r="E49" s="125"/>
    </row>
    <row r="50" spans="1:5" ht="12.95" customHeight="1">
      <c r="A50" s="97">
        <v>0.85</v>
      </c>
      <c r="B50" s="24">
        <f t="shared" si="2"/>
        <v>0.8026974999999998</v>
      </c>
      <c r="C50" s="126"/>
      <c r="D50" s="124"/>
      <c r="E50" s="125"/>
    </row>
    <row r="51" spans="1:5" ht="12.95" customHeight="1">
      <c r="A51" s="97">
        <v>0.9</v>
      </c>
      <c r="B51" s="24">
        <f t="shared" si="2"/>
        <v>0.8369099999999999</v>
      </c>
      <c r="C51" s="126"/>
      <c r="D51" s="124"/>
      <c r="E51" s="125"/>
    </row>
    <row r="52" spans="1:5" ht="12.95" customHeight="1" thickBot="1">
      <c r="A52" s="139">
        <v>1</v>
      </c>
      <c r="B52" s="59">
        <f t="shared" si="2"/>
        <v>0.901</v>
      </c>
      <c r="C52" s="127"/>
      <c r="D52" s="128"/>
      <c r="E52" s="129"/>
    </row>
    <row r="53" spans="1:5" ht="12.95" customHeight="1" thickTop="1">
      <c r="A53" s="57"/>
      <c r="B53" s="58"/>
      <c r="C53" s="124"/>
      <c r="D53" s="124"/>
      <c r="E53" s="124"/>
    </row>
    <row r="54" spans="1:5" ht="12.95" customHeight="1" thickBot="1">
      <c r="A54" s="57"/>
      <c r="B54" s="58"/>
      <c r="C54" s="124"/>
      <c r="D54" s="124"/>
      <c r="E54" s="124"/>
    </row>
    <row r="55" spans="1:5" ht="30" customHeight="1" thickTop="1">
      <c r="A55" s="8" t="s">
        <v>12</v>
      </c>
      <c r="B55" s="9">
        <v>34</v>
      </c>
      <c r="C55" s="10" t="s">
        <v>10</v>
      </c>
      <c r="D55" s="11" t="s">
        <v>187</v>
      </c>
      <c r="E55" s="12" t="s">
        <v>141</v>
      </c>
    </row>
    <row r="56" spans="1:5" ht="30" customHeight="1">
      <c r="A56" s="13" t="s">
        <v>7</v>
      </c>
      <c r="B56" s="1" t="s">
        <v>207</v>
      </c>
      <c r="C56" s="60"/>
      <c r="D56" s="2"/>
      <c r="E56" s="61"/>
    </row>
    <row r="57" spans="1:5" ht="30" customHeight="1">
      <c r="A57" s="13" t="s">
        <v>15</v>
      </c>
      <c r="B57" s="1"/>
      <c r="C57" s="60"/>
      <c r="D57" s="2"/>
      <c r="E57" s="61"/>
    </row>
    <row r="58" spans="1:5" ht="30" customHeight="1" thickBot="1">
      <c r="A58" s="13" t="s">
        <v>8</v>
      </c>
      <c r="B58" s="1"/>
      <c r="C58" s="62"/>
      <c r="D58" s="63"/>
      <c r="E58" s="64"/>
    </row>
    <row r="59" spans="1:5" ht="30" customHeight="1">
      <c r="A59" s="13" t="s">
        <v>9</v>
      </c>
      <c r="B59" s="1" t="s">
        <v>167</v>
      </c>
      <c r="C59" s="4" t="s">
        <v>11</v>
      </c>
      <c r="D59" s="6">
        <v>0.5</v>
      </c>
      <c r="E59" s="65"/>
    </row>
    <row r="60" spans="1:5" ht="30" customHeight="1" thickBot="1">
      <c r="A60" s="14" t="s">
        <v>16</v>
      </c>
      <c r="B60" s="20" t="s">
        <v>181</v>
      </c>
      <c r="C60" s="5" t="s">
        <v>0</v>
      </c>
      <c r="D60" s="7">
        <f>IF(D59&lt;0,"valor del indicador fuera de rango",IF(D59&lt;=1,((-0.2*D59^2)+(0.4*D59)),"valor del indicador fuera rango"))</f>
        <v>0.15000000000000002</v>
      </c>
      <c r="E60" s="66"/>
    </row>
    <row r="61" spans="1:5" ht="30" customHeight="1">
      <c r="A61" s="15" t="s">
        <v>14</v>
      </c>
      <c r="B61" s="3" t="s">
        <v>0</v>
      </c>
      <c r="C61" s="147" t="s">
        <v>13</v>
      </c>
      <c r="D61" s="148"/>
      <c r="E61" s="149"/>
    </row>
    <row r="62" spans="1:5" ht="12.95" customHeight="1">
      <c r="A62" s="96">
        <v>0</v>
      </c>
      <c r="B62" s="24">
        <f>-0.2*A62^2+0.4*A62</f>
        <v>0</v>
      </c>
      <c r="C62" s="124"/>
      <c r="D62" s="124"/>
      <c r="E62" s="125"/>
    </row>
    <row r="63" spans="1:5" ht="12.95" customHeight="1">
      <c r="A63" s="97">
        <f>A62+0.05</f>
        <v>0.05</v>
      </c>
      <c r="B63" s="24">
        <f>-0.2*A63^2+0.4*A63</f>
        <v>0.019500000000000003</v>
      </c>
      <c r="C63" s="126"/>
      <c r="D63" s="124"/>
      <c r="E63" s="125"/>
    </row>
    <row r="64" spans="1:5" ht="12.95" customHeight="1">
      <c r="A64" s="97">
        <f aca="true" t="shared" si="4" ref="A64:A74">A63+0.05</f>
        <v>0.1</v>
      </c>
      <c r="B64" s="24">
        <f aca="true" t="shared" si="5" ref="B64:B79">-0.2*A64^2+0.4*A64</f>
        <v>0.038000000000000006</v>
      </c>
      <c r="C64" s="126"/>
      <c r="D64" s="124"/>
      <c r="E64" s="125"/>
    </row>
    <row r="65" spans="1:5" ht="12.95" customHeight="1">
      <c r="A65" s="97">
        <f t="shared" si="4"/>
        <v>0.15000000000000002</v>
      </c>
      <c r="B65" s="24">
        <f t="shared" si="5"/>
        <v>0.05550000000000001</v>
      </c>
      <c r="C65" s="126"/>
      <c r="D65" s="124"/>
      <c r="E65" s="125"/>
    </row>
    <row r="66" spans="1:5" ht="12.95" customHeight="1">
      <c r="A66" s="97">
        <f t="shared" si="4"/>
        <v>0.2</v>
      </c>
      <c r="B66" s="24">
        <f t="shared" si="5"/>
        <v>0.07200000000000001</v>
      </c>
      <c r="C66" s="126"/>
      <c r="D66" s="124"/>
      <c r="E66" s="125"/>
    </row>
    <row r="67" spans="1:5" ht="12.95" customHeight="1">
      <c r="A67" s="97">
        <f t="shared" si="4"/>
        <v>0.25</v>
      </c>
      <c r="B67" s="24">
        <f t="shared" si="5"/>
        <v>0.08750000000000001</v>
      </c>
      <c r="C67" s="126"/>
      <c r="D67" s="124"/>
      <c r="E67" s="125"/>
    </row>
    <row r="68" spans="1:5" ht="12.95" customHeight="1">
      <c r="A68" s="97">
        <f t="shared" si="4"/>
        <v>0.3</v>
      </c>
      <c r="B68" s="24">
        <f t="shared" si="5"/>
        <v>0.102</v>
      </c>
      <c r="C68" s="126"/>
      <c r="D68" s="124"/>
      <c r="E68" s="125"/>
    </row>
    <row r="69" spans="1:5" ht="12.95" customHeight="1">
      <c r="A69" s="97">
        <f t="shared" si="4"/>
        <v>0.35</v>
      </c>
      <c r="B69" s="24">
        <f t="shared" si="5"/>
        <v>0.11549999999999999</v>
      </c>
      <c r="C69" s="126"/>
      <c r="D69" s="124"/>
      <c r="E69" s="125"/>
    </row>
    <row r="70" spans="1:5" ht="12.95" customHeight="1">
      <c r="A70" s="97">
        <f t="shared" si="4"/>
        <v>0.39999999999999997</v>
      </c>
      <c r="B70" s="24">
        <f t="shared" si="5"/>
        <v>0.128</v>
      </c>
      <c r="C70" s="126"/>
      <c r="D70" s="124"/>
      <c r="E70" s="125"/>
    </row>
    <row r="71" spans="1:5" ht="12.95" customHeight="1">
      <c r="A71" s="97">
        <f t="shared" si="4"/>
        <v>0.44999999999999996</v>
      </c>
      <c r="B71" s="24">
        <f t="shared" si="5"/>
        <v>0.1395</v>
      </c>
      <c r="C71" s="126"/>
      <c r="D71" s="124"/>
      <c r="E71" s="125"/>
    </row>
    <row r="72" spans="1:5" ht="12.95" customHeight="1">
      <c r="A72" s="97">
        <f t="shared" si="4"/>
        <v>0.49999999999999994</v>
      </c>
      <c r="B72" s="24">
        <f t="shared" si="5"/>
        <v>0.15</v>
      </c>
      <c r="C72" s="126"/>
      <c r="D72" s="124"/>
      <c r="E72" s="125"/>
    </row>
    <row r="73" spans="1:5" ht="12.95" customHeight="1">
      <c r="A73" s="97">
        <f t="shared" si="4"/>
        <v>0.5499999999999999</v>
      </c>
      <c r="B73" s="24">
        <f t="shared" si="5"/>
        <v>0.15949999999999998</v>
      </c>
      <c r="C73" s="126"/>
      <c r="D73" s="124"/>
      <c r="E73" s="125"/>
    </row>
    <row r="74" spans="1:5" ht="12.95" customHeight="1">
      <c r="A74" s="97">
        <f t="shared" si="4"/>
        <v>0.6</v>
      </c>
      <c r="B74" s="24">
        <f t="shared" si="5"/>
        <v>0.16799999999999998</v>
      </c>
      <c r="C74" s="126"/>
      <c r="D74" s="124"/>
      <c r="E74" s="125"/>
    </row>
    <row r="75" spans="1:5" ht="12.95" customHeight="1">
      <c r="A75" s="97">
        <v>0.65</v>
      </c>
      <c r="B75" s="24">
        <f t="shared" si="5"/>
        <v>0.1755</v>
      </c>
      <c r="C75" s="126"/>
      <c r="D75" s="124"/>
      <c r="E75" s="125"/>
    </row>
    <row r="76" spans="1:5" ht="12.95" customHeight="1">
      <c r="A76" s="97">
        <v>0.7</v>
      </c>
      <c r="B76" s="24">
        <f t="shared" si="5"/>
        <v>0.182</v>
      </c>
      <c r="C76" s="126"/>
      <c r="D76" s="124"/>
      <c r="E76" s="125"/>
    </row>
    <row r="77" spans="1:5" ht="12.95" customHeight="1">
      <c r="A77" s="97">
        <v>0.8</v>
      </c>
      <c r="B77" s="24">
        <f t="shared" si="5"/>
        <v>0.19200000000000003</v>
      </c>
      <c r="C77" s="126"/>
      <c r="D77" s="124"/>
      <c r="E77" s="125"/>
    </row>
    <row r="78" spans="1:5" ht="12.95" customHeight="1">
      <c r="A78" s="97">
        <v>0.9</v>
      </c>
      <c r="B78" s="24">
        <f t="shared" si="5"/>
        <v>0.198</v>
      </c>
      <c r="C78" s="126"/>
      <c r="D78" s="124"/>
      <c r="E78" s="125"/>
    </row>
    <row r="79" spans="1:5" ht="12.95" customHeight="1" thickBot="1">
      <c r="A79" s="139">
        <v>1</v>
      </c>
      <c r="B79" s="59">
        <f t="shared" si="5"/>
        <v>0.2</v>
      </c>
      <c r="C79" s="127"/>
      <c r="D79" s="128"/>
      <c r="E79" s="129"/>
    </row>
    <row r="80" ht="12.95" customHeight="1" thickTop="1"/>
  </sheetData>
  <mergeCells count="3">
    <mergeCell ref="C7:E7"/>
    <mergeCell ref="C34:E34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3"/>
  <sheetViews>
    <sheetView zoomScale="75" zoomScaleNormal="75" workbookViewId="0" topLeftCell="A1">
      <selection activeCell="C164" sqref="C16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35</v>
      </c>
      <c r="C1" s="10" t="s">
        <v>10</v>
      </c>
      <c r="D1" s="11" t="s">
        <v>188</v>
      </c>
      <c r="E1" s="12" t="s">
        <v>143</v>
      </c>
    </row>
    <row r="2" spans="1:5" ht="30" customHeight="1">
      <c r="A2" s="13" t="s">
        <v>7</v>
      </c>
      <c r="B2" s="1" t="s">
        <v>142</v>
      </c>
      <c r="C2" s="60"/>
      <c r="D2" s="2" t="s">
        <v>189</v>
      </c>
      <c r="E2" s="108" t="s">
        <v>144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168</v>
      </c>
      <c r="C5" s="4" t="s">
        <v>11</v>
      </c>
      <c r="D5" s="6">
        <v>120</v>
      </c>
      <c r="E5" s="65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rango",IF(D5&lt;=60,(0.0000694*(D5^2)-(0.0125*D5)+1),IF(D5&lt;=600,((0.00000154*D5^2)-(0.00194*D5)+0.61),"valor del indicador fuera rango")))</f>
        <v>0.39937599999999995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29">
        <v>0</v>
      </c>
      <c r="B8" s="24">
        <f aca="true" t="shared" si="0" ref="B8:B14">0.0000694*A8^2-0.0125*A8+1</f>
        <v>1</v>
      </c>
      <c r="C8" s="124"/>
      <c r="D8" s="124"/>
      <c r="E8" s="125"/>
    </row>
    <row r="9" spans="1:5" ht="12.95" customHeight="1">
      <c r="A9" s="29">
        <v>10</v>
      </c>
      <c r="B9" s="24">
        <f t="shared" si="0"/>
        <v>0.88194</v>
      </c>
      <c r="C9" s="126"/>
      <c r="D9" s="124"/>
      <c r="E9" s="125"/>
    </row>
    <row r="10" spans="1:5" ht="12.95" customHeight="1">
      <c r="A10" s="29">
        <v>20</v>
      </c>
      <c r="B10" s="24">
        <f t="shared" si="0"/>
        <v>0.77776</v>
      </c>
      <c r="C10" s="126"/>
      <c r="D10" s="124"/>
      <c r="E10" s="125"/>
    </row>
    <row r="11" spans="1:5" ht="12.95" customHeight="1">
      <c r="A11" s="29">
        <v>30</v>
      </c>
      <c r="B11" s="24">
        <f t="shared" si="0"/>
        <v>0.68746</v>
      </c>
      <c r="C11" s="126"/>
      <c r="D11" s="124"/>
      <c r="E11" s="125"/>
    </row>
    <row r="12" spans="1:5" ht="12.95" customHeight="1">
      <c r="A12" s="29">
        <v>40</v>
      </c>
      <c r="B12" s="24">
        <f t="shared" si="0"/>
        <v>0.61104</v>
      </c>
      <c r="C12" s="126"/>
      <c r="D12" s="124"/>
      <c r="E12" s="125"/>
    </row>
    <row r="13" spans="1:5" ht="12.95" customHeight="1">
      <c r="A13" s="29">
        <v>50</v>
      </c>
      <c r="B13" s="24">
        <f t="shared" si="0"/>
        <v>0.5485</v>
      </c>
      <c r="C13" s="126"/>
      <c r="D13" s="124"/>
      <c r="E13" s="125"/>
    </row>
    <row r="14" spans="1:5" ht="12.95" customHeight="1">
      <c r="A14" s="29">
        <v>60</v>
      </c>
      <c r="B14" s="24">
        <f t="shared" si="0"/>
        <v>0.49984000000000006</v>
      </c>
      <c r="C14" s="126"/>
      <c r="D14" s="124"/>
      <c r="E14" s="125"/>
    </row>
    <row r="15" spans="1:5" ht="12.95" customHeight="1">
      <c r="A15" s="30">
        <v>90</v>
      </c>
      <c r="B15" s="26">
        <f>0.00000154*A15^2-0.00194*A15+0.61</f>
        <v>0.447874</v>
      </c>
      <c r="C15" s="126"/>
      <c r="D15" s="124"/>
      <c r="E15" s="125"/>
    </row>
    <row r="16" spans="1:5" ht="12.95" customHeight="1">
      <c r="A16" s="30">
        <v>120</v>
      </c>
      <c r="B16" s="26">
        <f aca="true" t="shared" si="1" ref="B16:B30">0.00000154*A16^2-0.00194*A16+0.61</f>
        <v>0.39937599999999995</v>
      </c>
      <c r="C16" s="126"/>
      <c r="D16" s="124"/>
      <c r="E16" s="125"/>
    </row>
    <row r="17" spans="1:5" ht="12.95" customHeight="1">
      <c r="A17" s="30">
        <v>150</v>
      </c>
      <c r="B17" s="26">
        <f t="shared" si="1"/>
        <v>0.35364999999999996</v>
      </c>
      <c r="C17" s="126"/>
      <c r="D17" s="124"/>
      <c r="E17" s="125"/>
    </row>
    <row r="18" spans="1:5" ht="12.95" customHeight="1">
      <c r="A18" s="30">
        <v>180</v>
      </c>
      <c r="B18" s="26">
        <f t="shared" si="1"/>
        <v>0.31069599999999997</v>
      </c>
      <c r="C18" s="126"/>
      <c r="D18" s="124"/>
      <c r="E18" s="125"/>
    </row>
    <row r="19" spans="1:5" ht="12.95" customHeight="1">
      <c r="A19" s="30">
        <v>210</v>
      </c>
      <c r="B19" s="26">
        <f t="shared" si="1"/>
        <v>0.2705139999999999</v>
      </c>
      <c r="C19" s="126"/>
      <c r="D19" s="124"/>
      <c r="E19" s="125"/>
    </row>
    <row r="20" spans="1:5" ht="12.95" customHeight="1">
      <c r="A20" s="30">
        <v>240</v>
      </c>
      <c r="B20" s="26">
        <f t="shared" si="1"/>
        <v>0.23310399999999998</v>
      </c>
      <c r="C20" s="126"/>
      <c r="D20" s="124"/>
      <c r="E20" s="125"/>
    </row>
    <row r="21" spans="1:5" ht="12.95" customHeight="1">
      <c r="A21" s="30">
        <v>270</v>
      </c>
      <c r="B21" s="26">
        <f t="shared" si="1"/>
        <v>0.19846599999999992</v>
      </c>
      <c r="C21" s="126"/>
      <c r="D21" s="124"/>
      <c r="E21" s="125"/>
    </row>
    <row r="22" spans="1:5" ht="12.95" customHeight="1">
      <c r="A22" s="30">
        <v>300</v>
      </c>
      <c r="B22" s="26">
        <f t="shared" si="1"/>
        <v>0.16659999999999991</v>
      </c>
      <c r="C22" s="126"/>
      <c r="D22" s="124"/>
      <c r="E22" s="125"/>
    </row>
    <row r="23" spans="1:5" ht="12.95" customHeight="1">
      <c r="A23" s="30">
        <v>330</v>
      </c>
      <c r="B23" s="26">
        <f t="shared" si="1"/>
        <v>0.13750600000000002</v>
      </c>
      <c r="C23" s="126"/>
      <c r="D23" s="124"/>
      <c r="E23" s="125"/>
    </row>
    <row r="24" spans="1:5" ht="12.95" customHeight="1">
      <c r="A24" s="30">
        <v>360</v>
      </c>
      <c r="B24" s="26">
        <f t="shared" si="1"/>
        <v>0.11118399999999995</v>
      </c>
      <c r="C24" s="126"/>
      <c r="D24" s="124"/>
      <c r="E24" s="125"/>
    </row>
    <row r="25" spans="1:5" ht="12.95" customHeight="1">
      <c r="A25" s="30">
        <v>450</v>
      </c>
      <c r="B25" s="26">
        <f t="shared" si="1"/>
        <v>0.04884999999999995</v>
      </c>
      <c r="C25" s="126"/>
      <c r="D25" s="124"/>
      <c r="E25" s="125"/>
    </row>
    <row r="26" spans="1:5" ht="12.95" customHeight="1">
      <c r="A26" s="30">
        <v>480</v>
      </c>
      <c r="B26" s="26">
        <f t="shared" si="1"/>
        <v>0.03361599999999998</v>
      </c>
      <c r="C26" s="126"/>
      <c r="D26" s="124"/>
      <c r="E26" s="125"/>
    </row>
    <row r="27" spans="1:5" ht="12.95" customHeight="1">
      <c r="A27" s="30">
        <v>510</v>
      </c>
      <c r="B27" s="26">
        <f t="shared" si="1"/>
        <v>0.021154000000000006</v>
      </c>
      <c r="C27" s="126"/>
      <c r="D27" s="124"/>
      <c r="E27" s="125"/>
    </row>
    <row r="28" spans="1:5" ht="12.95" customHeight="1">
      <c r="A28" s="30">
        <v>540</v>
      </c>
      <c r="B28" s="26">
        <f t="shared" si="1"/>
        <v>0.011463999999999919</v>
      </c>
      <c r="C28" s="126"/>
      <c r="D28" s="124"/>
      <c r="E28" s="125"/>
    </row>
    <row r="29" spans="1:5" ht="12.95" customHeight="1">
      <c r="A29" s="30">
        <v>570</v>
      </c>
      <c r="B29" s="26">
        <f t="shared" si="1"/>
        <v>0.004545999999999939</v>
      </c>
      <c r="C29" s="126"/>
      <c r="D29" s="124"/>
      <c r="E29" s="125"/>
    </row>
    <row r="30" spans="1:5" ht="12.95" customHeight="1" thickBot="1">
      <c r="A30" s="84">
        <v>600</v>
      </c>
      <c r="B30" s="141">
        <f t="shared" si="1"/>
        <v>0.0003999999999998449</v>
      </c>
      <c r="C30" s="127"/>
      <c r="D30" s="127"/>
      <c r="E30" s="142"/>
    </row>
    <row r="31" ht="12.95" customHeight="1" thickTop="1"/>
    <row r="32" ht="12.95" customHeight="1" thickBot="1"/>
    <row r="33" spans="1:5" ht="30" customHeight="1" thickTop="1">
      <c r="A33" s="8" t="s">
        <v>12</v>
      </c>
      <c r="B33" s="9">
        <v>36</v>
      </c>
      <c r="C33" s="10" t="s">
        <v>10</v>
      </c>
      <c r="D33" s="11" t="s">
        <v>188</v>
      </c>
      <c r="E33" s="12" t="s">
        <v>143</v>
      </c>
    </row>
    <row r="34" spans="1:5" ht="30" customHeight="1">
      <c r="A34" s="13" t="s">
        <v>7</v>
      </c>
      <c r="B34" s="1" t="s">
        <v>145</v>
      </c>
      <c r="C34" s="60"/>
      <c r="D34" s="2" t="s">
        <v>189</v>
      </c>
      <c r="E34" s="108" t="s">
        <v>144</v>
      </c>
    </row>
    <row r="35" spans="1:5" ht="30" customHeight="1">
      <c r="A35" s="13" t="s">
        <v>15</v>
      </c>
      <c r="B35" s="1"/>
      <c r="C35" s="60"/>
      <c r="D35" s="2"/>
      <c r="E35" s="61"/>
    </row>
    <row r="36" spans="1:5" ht="30" customHeight="1" thickBot="1">
      <c r="A36" s="13" t="s">
        <v>8</v>
      </c>
      <c r="B36" s="17" t="s">
        <v>93</v>
      </c>
      <c r="C36" s="62"/>
      <c r="D36" s="63"/>
      <c r="E36" s="64"/>
    </row>
    <row r="37" spans="1:5" ht="30" customHeight="1">
      <c r="A37" s="13" t="s">
        <v>9</v>
      </c>
      <c r="B37" s="1" t="s">
        <v>168</v>
      </c>
      <c r="C37" s="4" t="s">
        <v>11</v>
      </c>
      <c r="D37" s="6">
        <v>120</v>
      </c>
      <c r="E37" s="65"/>
    </row>
    <row r="38" spans="1:5" ht="30" customHeight="1" thickBot="1">
      <c r="A38" s="14" t="s">
        <v>16</v>
      </c>
      <c r="B38" s="20" t="s">
        <v>17</v>
      </c>
      <c r="C38" s="5" t="s">
        <v>0</v>
      </c>
      <c r="D38" s="7">
        <f>IF(D37&lt;0,"valor del indicador fuera de rango",IF(D37&lt;=60,(0.0000694*(D37^2)-(0.0125*D37)+1),IF(D37&lt;=600,((0.00000154*D37^2)-(0.00194*D37)+0.61),"valor del indicador fuera rango")))</f>
        <v>0.39937599999999995</v>
      </c>
      <c r="E38" s="66"/>
    </row>
    <row r="39" spans="1:5" ht="30" customHeight="1">
      <c r="A39" s="15" t="s">
        <v>14</v>
      </c>
      <c r="B39" s="3" t="s">
        <v>0</v>
      </c>
      <c r="C39" s="147" t="s">
        <v>13</v>
      </c>
      <c r="D39" s="148"/>
      <c r="E39" s="149"/>
    </row>
    <row r="40" spans="1:5" ht="12.95" customHeight="1">
      <c r="A40" s="29">
        <v>0</v>
      </c>
      <c r="B40" s="24">
        <f>0.0000694*A40^2-0.0125*A40+1</f>
        <v>1</v>
      </c>
      <c r="C40" s="124"/>
      <c r="D40" s="124"/>
      <c r="E40" s="125"/>
    </row>
    <row r="41" spans="1:5" ht="12.95" customHeight="1">
      <c r="A41" s="29">
        <v>10</v>
      </c>
      <c r="B41" s="24">
        <f>0.0000694*A41^2-0.0125*A41+1</f>
        <v>0.88194</v>
      </c>
      <c r="C41" s="126"/>
      <c r="D41" s="124"/>
      <c r="E41" s="125"/>
    </row>
    <row r="42" spans="1:5" ht="12.95" customHeight="1">
      <c r="A42" s="29">
        <v>20</v>
      </c>
      <c r="B42" s="24">
        <f>0.0000694*A42^2-0.0125*A42+1</f>
        <v>0.77776</v>
      </c>
      <c r="C42" s="126"/>
      <c r="D42" s="124"/>
      <c r="E42" s="125"/>
    </row>
    <row r="43" spans="1:5" ht="12.95" customHeight="1">
      <c r="A43" s="29">
        <v>30</v>
      </c>
      <c r="B43" s="24">
        <f aca="true" t="shared" si="2" ref="B43:B48">0.0000694*A43^2-0.0125*A43+1</f>
        <v>0.68746</v>
      </c>
      <c r="C43" s="126"/>
      <c r="D43" s="124"/>
      <c r="E43" s="125"/>
    </row>
    <row r="44" spans="1:5" ht="12.95" customHeight="1">
      <c r="A44" s="29">
        <v>40</v>
      </c>
      <c r="B44" s="24">
        <f t="shared" si="2"/>
        <v>0.61104</v>
      </c>
      <c r="C44" s="126"/>
      <c r="D44" s="124"/>
      <c r="E44" s="125"/>
    </row>
    <row r="45" spans="1:5" ht="12.95" customHeight="1">
      <c r="A45" s="29">
        <v>45</v>
      </c>
      <c r="B45" s="24">
        <f t="shared" si="2"/>
        <v>0.5780350000000001</v>
      </c>
      <c r="C45" s="126"/>
      <c r="D45" s="124"/>
      <c r="E45" s="125"/>
    </row>
    <row r="46" spans="1:5" ht="12.95" customHeight="1">
      <c r="A46" s="29">
        <v>50</v>
      </c>
      <c r="B46" s="24">
        <f t="shared" si="2"/>
        <v>0.5485</v>
      </c>
      <c r="C46" s="126"/>
      <c r="D46" s="124"/>
      <c r="E46" s="125"/>
    </row>
    <row r="47" spans="1:5" ht="12.95" customHeight="1">
      <c r="A47" s="29">
        <v>55</v>
      </c>
      <c r="B47" s="24">
        <f t="shared" si="2"/>
        <v>0.522435</v>
      </c>
      <c r="C47" s="126"/>
      <c r="D47" s="124"/>
      <c r="E47" s="125"/>
    </row>
    <row r="48" spans="1:5" ht="12.95" customHeight="1">
      <c r="A48" s="29">
        <v>60</v>
      </c>
      <c r="B48" s="24">
        <f t="shared" si="2"/>
        <v>0.49984000000000006</v>
      </c>
      <c r="C48" s="126"/>
      <c r="D48" s="124"/>
      <c r="E48" s="125"/>
    </row>
    <row r="49" spans="1:5" ht="12.95" customHeight="1">
      <c r="A49" s="30">
        <v>90</v>
      </c>
      <c r="B49" s="26">
        <f>0.00000154*A49^2-0.00194*A49+0.61</f>
        <v>0.447874</v>
      </c>
      <c r="C49" s="126"/>
      <c r="D49" s="124"/>
      <c r="E49" s="125"/>
    </row>
    <row r="50" spans="1:5" ht="12.95" customHeight="1">
      <c r="A50" s="30">
        <v>120</v>
      </c>
      <c r="B50" s="26">
        <f aca="true" t="shared" si="3" ref="B50:B64">0.00000154*A50^2-0.00194*A50+0.61</f>
        <v>0.39937599999999995</v>
      </c>
      <c r="C50" s="126"/>
      <c r="D50" s="124"/>
      <c r="E50" s="125"/>
    </row>
    <row r="51" spans="1:5" ht="12.95" customHeight="1">
      <c r="A51" s="30">
        <v>150</v>
      </c>
      <c r="B51" s="26">
        <f t="shared" si="3"/>
        <v>0.35364999999999996</v>
      </c>
      <c r="C51" s="126"/>
      <c r="D51" s="124"/>
      <c r="E51" s="125"/>
    </row>
    <row r="52" spans="1:5" ht="12.95" customHeight="1">
      <c r="A52" s="30">
        <v>180</v>
      </c>
      <c r="B52" s="26">
        <f t="shared" si="3"/>
        <v>0.31069599999999997</v>
      </c>
      <c r="C52" s="126"/>
      <c r="D52" s="124"/>
      <c r="E52" s="125"/>
    </row>
    <row r="53" spans="1:5" ht="12.95" customHeight="1">
      <c r="A53" s="30">
        <v>210</v>
      </c>
      <c r="B53" s="26">
        <f t="shared" si="3"/>
        <v>0.2705139999999999</v>
      </c>
      <c r="C53" s="126"/>
      <c r="D53" s="124"/>
      <c r="E53" s="125"/>
    </row>
    <row r="54" spans="1:5" ht="12.95" customHeight="1">
      <c r="A54" s="30">
        <v>240</v>
      </c>
      <c r="B54" s="26">
        <f t="shared" si="3"/>
        <v>0.23310399999999998</v>
      </c>
      <c r="C54" s="126"/>
      <c r="D54" s="124"/>
      <c r="E54" s="125"/>
    </row>
    <row r="55" spans="1:5" ht="12.95" customHeight="1">
      <c r="A55" s="30">
        <v>270</v>
      </c>
      <c r="B55" s="26">
        <f t="shared" si="3"/>
        <v>0.19846599999999992</v>
      </c>
      <c r="C55" s="126"/>
      <c r="D55" s="124"/>
      <c r="E55" s="125"/>
    </row>
    <row r="56" spans="1:5" ht="12.95" customHeight="1">
      <c r="A56" s="30">
        <v>300</v>
      </c>
      <c r="B56" s="26">
        <f t="shared" si="3"/>
        <v>0.16659999999999991</v>
      </c>
      <c r="C56" s="126"/>
      <c r="D56" s="124"/>
      <c r="E56" s="125"/>
    </row>
    <row r="57" spans="1:5" ht="12.95" customHeight="1">
      <c r="A57" s="30">
        <v>330</v>
      </c>
      <c r="B57" s="26">
        <f t="shared" si="3"/>
        <v>0.13750600000000002</v>
      </c>
      <c r="C57" s="126"/>
      <c r="D57" s="124"/>
      <c r="E57" s="125"/>
    </row>
    <row r="58" spans="1:5" ht="12.95" customHeight="1">
      <c r="A58" s="30">
        <v>360</v>
      </c>
      <c r="B58" s="26">
        <f t="shared" si="3"/>
        <v>0.11118399999999995</v>
      </c>
      <c r="C58" s="126"/>
      <c r="D58" s="124"/>
      <c r="E58" s="125"/>
    </row>
    <row r="59" spans="1:5" ht="12.95" customHeight="1">
      <c r="A59" s="30">
        <v>450</v>
      </c>
      <c r="B59" s="26">
        <f t="shared" si="3"/>
        <v>0.04884999999999995</v>
      </c>
      <c r="C59" s="126"/>
      <c r="D59" s="124"/>
      <c r="E59" s="125"/>
    </row>
    <row r="60" spans="1:5" ht="12.95" customHeight="1">
      <c r="A60" s="30">
        <v>480</v>
      </c>
      <c r="B60" s="26">
        <f t="shared" si="3"/>
        <v>0.03361599999999998</v>
      </c>
      <c r="C60" s="126"/>
      <c r="D60" s="124"/>
      <c r="E60" s="125"/>
    </row>
    <row r="61" spans="1:5" ht="12.95" customHeight="1">
      <c r="A61" s="30">
        <v>510</v>
      </c>
      <c r="B61" s="26">
        <f t="shared" si="3"/>
        <v>0.021154000000000006</v>
      </c>
      <c r="C61" s="126"/>
      <c r="D61" s="124"/>
      <c r="E61" s="125"/>
    </row>
    <row r="62" spans="1:5" ht="12.95" customHeight="1">
      <c r="A62" s="30">
        <v>540</v>
      </c>
      <c r="B62" s="26">
        <f t="shared" si="3"/>
        <v>0.011463999999999919</v>
      </c>
      <c r="C62" s="126"/>
      <c r="D62" s="124"/>
      <c r="E62" s="125"/>
    </row>
    <row r="63" spans="1:5" ht="12.95" customHeight="1">
      <c r="A63" s="30">
        <v>570</v>
      </c>
      <c r="B63" s="26">
        <f t="shared" si="3"/>
        <v>0.004545999999999939</v>
      </c>
      <c r="C63" s="126"/>
      <c r="D63" s="124"/>
      <c r="E63" s="125"/>
    </row>
    <row r="64" spans="1:5" ht="12.95" customHeight="1" thickBot="1">
      <c r="A64" s="84">
        <v>600</v>
      </c>
      <c r="B64" s="141">
        <f t="shared" si="3"/>
        <v>0.0003999999999998449</v>
      </c>
      <c r="C64" s="127"/>
      <c r="D64" s="128"/>
      <c r="E64" s="129"/>
    </row>
    <row r="65" ht="12.95" customHeight="1" thickTop="1"/>
    <row r="66" ht="12.95" customHeight="1" thickBot="1"/>
    <row r="67" spans="1:5" ht="30" customHeight="1" thickTop="1">
      <c r="A67" s="8" t="s">
        <v>12</v>
      </c>
      <c r="B67" s="9">
        <v>37</v>
      </c>
      <c r="C67" s="10" t="s">
        <v>10</v>
      </c>
      <c r="D67" s="11" t="s">
        <v>188</v>
      </c>
      <c r="E67" s="12" t="s">
        <v>143</v>
      </c>
    </row>
    <row r="68" spans="1:5" ht="30" customHeight="1">
      <c r="A68" s="13" t="s">
        <v>7</v>
      </c>
      <c r="B68" s="1" t="s">
        <v>146</v>
      </c>
      <c r="C68" s="60"/>
      <c r="D68" s="2" t="s">
        <v>189</v>
      </c>
      <c r="E68" s="108" t="s">
        <v>144</v>
      </c>
    </row>
    <row r="69" spans="1:5" ht="30" customHeight="1">
      <c r="A69" s="13" t="s">
        <v>15</v>
      </c>
      <c r="B69" s="1"/>
      <c r="C69" s="60"/>
      <c r="D69" s="2"/>
      <c r="E69" s="61"/>
    </row>
    <row r="70" spans="1:5" ht="30" customHeight="1" thickBot="1">
      <c r="A70" s="13" t="s">
        <v>8</v>
      </c>
      <c r="B70" s="17" t="s">
        <v>93</v>
      </c>
      <c r="C70" s="62"/>
      <c r="D70" s="63"/>
      <c r="E70" s="64"/>
    </row>
    <row r="71" spans="1:5" ht="30" customHeight="1">
      <c r="A71" s="13" t="s">
        <v>9</v>
      </c>
      <c r="B71" s="1" t="s">
        <v>168</v>
      </c>
      <c r="C71" s="4" t="s">
        <v>11</v>
      </c>
      <c r="D71" s="6">
        <v>210</v>
      </c>
      <c r="E71" s="65"/>
    </row>
    <row r="72" spans="1:5" ht="30" customHeight="1" thickBot="1">
      <c r="A72" s="14" t="s">
        <v>16</v>
      </c>
      <c r="B72" s="20" t="s">
        <v>17</v>
      </c>
      <c r="C72" s="5" t="s">
        <v>0</v>
      </c>
      <c r="D72" s="7">
        <f>IF(D71&lt;0,"valor del indicador fuera de rango",IF(D71&lt;=60,(0.0000694*(D71^2)-(0.0125*D71)+1),IF(D71&lt;=600,((0.00000154*D71^2)-(0.00194*D71)+0.61),"valor del indicador fuera rango")))</f>
        <v>0.2705139999999999</v>
      </c>
      <c r="E72" s="66"/>
    </row>
    <row r="73" spans="1:5" ht="30" customHeight="1">
      <c r="A73" s="15" t="s">
        <v>14</v>
      </c>
      <c r="B73" s="3" t="s">
        <v>0</v>
      </c>
      <c r="C73" s="147" t="s">
        <v>13</v>
      </c>
      <c r="D73" s="148"/>
      <c r="E73" s="149"/>
    </row>
    <row r="74" spans="1:5" ht="12.95" customHeight="1">
      <c r="A74" s="29">
        <v>0</v>
      </c>
      <c r="B74" s="24">
        <f>0.0000694*A74^2-0.0125*A74+1</f>
        <v>1</v>
      </c>
      <c r="C74" s="124"/>
      <c r="D74" s="124"/>
      <c r="E74" s="125"/>
    </row>
    <row r="75" spans="1:5" ht="12.95" customHeight="1">
      <c r="A75" s="29">
        <v>10</v>
      </c>
      <c r="B75" s="24">
        <f>0.0000694*A75^2-0.0125*A75+1</f>
        <v>0.88194</v>
      </c>
      <c r="C75" s="126"/>
      <c r="D75" s="124"/>
      <c r="E75" s="125"/>
    </row>
    <row r="76" spans="1:5" ht="12.95" customHeight="1">
      <c r="A76" s="29">
        <v>20</v>
      </c>
      <c r="B76" s="24">
        <f>0.0000694*A76^2-0.0125*A76+1</f>
        <v>0.77776</v>
      </c>
      <c r="C76" s="126"/>
      <c r="D76" s="124"/>
      <c r="E76" s="125"/>
    </row>
    <row r="77" spans="1:5" ht="12.95" customHeight="1">
      <c r="A77" s="29">
        <v>30</v>
      </c>
      <c r="B77" s="24">
        <f aca="true" t="shared" si="4" ref="B77:B82">0.0000694*A77^2-0.0125*A77+1</f>
        <v>0.68746</v>
      </c>
      <c r="C77" s="126"/>
      <c r="D77" s="124"/>
      <c r="E77" s="125"/>
    </row>
    <row r="78" spans="1:5" ht="12.95" customHeight="1">
      <c r="A78" s="29">
        <v>40</v>
      </c>
      <c r="B78" s="24">
        <f t="shared" si="4"/>
        <v>0.61104</v>
      </c>
      <c r="C78" s="126"/>
      <c r="D78" s="124"/>
      <c r="E78" s="125"/>
    </row>
    <row r="79" spans="1:5" ht="12.95" customHeight="1">
      <c r="A79" s="29">
        <v>45</v>
      </c>
      <c r="B79" s="24">
        <f t="shared" si="4"/>
        <v>0.5780350000000001</v>
      </c>
      <c r="C79" s="126"/>
      <c r="D79" s="124"/>
      <c r="E79" s="125"/>
    </row>
    <row r="80" spans="1:5" ht="12.95" customHeight="1">
      <c r="A80" s="29">
        <v>50</v>
      </c>
      <c r="B80" s="24">
        <f t="shared" si="4"/>
        <v>0.5485</v>
      </c>
      <c r="C80" s="126"/>
      <c r="D80" s="124"/>
      <c r="E80" s="125"/>
    </row>
    <row r="81" spans="1:5" ht="12.95" customHeight="1">
      <c r="A81" s="29">
        <v>55</v>
      </c>
      <c r="B81" s="24">
        <f t="shared" si="4"/>
        <v>0.522435</v>
      </c>
      <c r="C81" s="126"/>
      <c r="D81" s="124"/>
      <c r="E81" s="125"/>
    </row>
    <row r="82" spans="1:5" ht="12.95" customHeight="1">
      <c r="A82" s="29">
        <v>60</v>
      </c>
      <c r="B82" s="24">
        <f t="shared" si="4"/>
        <v>0.49984000000000006</v>
      </c>
      <c r="C82" s="126"/>
      <c r="D82" s="124"/>
      <c r="E82" s="125"/>
    </row>
    <row r="83" spans="1:5" ht="12.95" customHeight="1">
      <c r="A83" s="30">
        <v>90</v>
      </c>
      <c r="B83" s="26">
        <f>0.00000154*A83^2-0.00194*A83+0.61</f>
        <v>0.447874</v>
      </c>
      <c r="C83" s="126"/>
      <c r="D83" s="124"/>
      <c r="E83" s="125"/>
    </row>
    <row r="84" spans="1:5" ht="12.95" customHeight="1">
      <c r="A84" s="30">
        <v>120</v>
      </c>
      <c r="B84" s="26">
        <f aca="true" t="shared" si="5" ref="B84:B98">0.00000154*A84^2-0.00194*A84+0.61</f>
        <v>0.39937599999999995</v>
      </c>
      <c r="C84" s="126"/>
      <c r="D84" s="124"/>
      <c r="E84" s="125"/>
    </row>
    <row r="85" spans="1:5" ht="12.95" customHeight="1">
      <c r="A85" s="30">
        <v>150</v>
      </c>
      <c r="B85" s="26">
        <f t="shared" si="5"/>
        <v>0.35364999999999996</v>
      </c>
      <c r="C85" s="126"/>
      <c r="D85" s="124"/>
      <c r="E85" s="125"/>
    </row>
    <row r="86" spans="1:5" ht="12.95" customHeight="1">
      <c r="A86" s="30">
        <v>180</v>
      </c>
      <c r="B86" s="26">
        <f t="shared" si="5"/>
        <v>0.31069599999999997</v>
      </c>
      <c r="C86" s="126"/>
      <c r="D86" s="124"/>
      <c r="E86" s="125"/>
    </row>
    <row r="87" spans="1:5" ht="12.95" customHeight="1">
      <c r="A87" s="30">
        <v>210</v>
      </c>
      <c r="B87" s="26">
        <f t="shared" si="5"/>
        <v>0.2705139999999999</v>
      </c>
      <c r="C87" s="126"/>
      <c r="D87" s="124"/>
      <c r="E87" s="125"/>
    </row>
    <row r="88" spans="1:5" ht="12.95" customHeight="1">
      <c r="A88" s="30">
        <v>240</v>
      </c>
      <c r="B88" s="26">
        <f t="shared" si="5"/>
        <v>0.23310399999999998</v>
      </c>
      <c r="C88" s="126"/>
      <c r="D88" s="124"/>
      <c r="E88" s="125"/>
    </row>
    <row r="89" spans="1:5" ht="12.95" customHeight="1">
      <c r="A89" s="30">
        <v>270</v>
      </c>
      <c r="B89" s="26">
        <f t="shared" si="5"/>
        <v>0.19846599999999992</v>
      </c>
      <c r="C89" s="126"/>
      <c r="D89" s="124"/>
      <c r="E89" s="125"/>
    </row>
    <row r="90" spans="1:5" ht="12.95" customHeight="1">
      <c r="A90" s="30">
        <v>300</v>
      </c>
      <c r="B90" s="26">
        <f t="shared" si="5"/>
        <v>0.16659999999999991</v>
      </c>
      <c r="C90" s="126"/>
      <c r="D90" s="124"/>
      <c r="E90" s="125"/>
    </row>
    <row r="91" spans="1:5" ht="12.95" customHeight="1">
      <c r="A91" s="30">
        <v>330</v>
      </c>
      <c r="B91" s="26">
        <f t="shared" si="5"/>
        <v>0.13750600000000002</v>
      </c>
      <c r="C91" s="126"/>
      <c r="D91" s="124"/>
      <c r="E91" s="125"/>
    </row>
    <row r="92" spans="1:5" ht="12.95" customHeight="1">
      <c r="A92" s="30">
        <v>360</v>
      </c>
      <c r="B92" s="26">
        <f t="shared" si="5"/>
        <v>0.11118399999999995</v>
      </c>
      <c r="C92" s="126"/>
      <c r="D92" s="124"/>
      <c r="E92" s="125"/>
    </row>
    <row r="93" spans="1:5" ht="12.95" customHeight="1">
      <c r="A93" s="30">
        <v>450</v>
      </c>
      <c r="B93" s="26">
        <f t="shared" si="5"/>
        <v>0.04884999999999995</v>
      </c>
      <c r="C93" s="126"/>
      <c r="D93" s="124"/>
      <c r="E93" s="125"/>
    </row>
    <row r="94" spans="1:5" ht="12.95" customHeight="1">
      <c r="A94" s="30">
        <v>480</v>
      </c>
      <c r="B94" s="26">
        <f t="shared" si="5"/>
        <v>0.03361599999999998</v>
      </c>
      <c r="C94" s="126"/>
      <c r="D94" s="124"/>
      <c r="E94" s="125"/>
    </row>
    <row r="95" spans="1:5" ht="12.95" customHeight="1">
      <c r="A95" s="30">
        <v>510</v>
      </c>
      <c r="B95" s="26">
        <f t="shared" si="5"/>
        <v>0.021154000000000006</v>
      </c>
      <c r="C95" s="126"/>
      <c r="D95" s="124"/>
      <c r="E95" s="125"/>
    </row>
    <row r="96" spans="1:5" ht="12.95" customHeight="1">
      <c r="A96" s="30">
        <v>540</v>
      </c>
      <c r="B96" s="26">
        <f t="shared" si="5"/>
        <v>0.011463999999999919</v>
      </c>
      <c r="C96" s="126"/>
      <c r="D96" s="124"/>
      <c r="E96" s="125"/>
    </row>
    <row r="97" spans="1:5" ht="12.95" customHeight="1">
      <c r="A97" s="30">
        <v>570</v>
      </c>
      <c r="B97" s="26">
        <f t="shared" si="5"/>
        <v>0.004545999999999939</v>
      </c>
      <c r="C97" s="126"/>
      <c r="D97" s="124"/>
      <c r="E97" s="125"/>
    </row>
    <row r="98" spans="1:5" ht="12.95" customHeight="1" thickBot="1">
      <c r="A98" s="84">
        <v>600</v>
      </c>
      <c r="B98" s="141">
        <f t="shared" si="5"/>
        <v>0.0003999999999998449</v>
      </c>
      <c r="C98" s="127"/>
      <c r="D98" s="128"/>
      <c r="E98" s="129"/>
    </row>
    <row r="99" ht="12.95" customHeight="1" thickTop="1"/>
    <row r="100" ht="12.95" customHeight="1" thickBot="1"/>
    <row r="101" spans="1:5" ht="30" customHeight="1" thickTop="1">
      <c r="A101" s="8" t="s">
        <v>12</v>
      </c>
      <c r="B101" s="9">
        <v>38</v>
      </c>
      <c r="C101" s="10" t="s">
        <v>10</v>
      </c>
      <c r="D101" s="11" t="s">
        <v>165</v>
      </c>
      <c r="E101" s="12" t="s">
        <v>23</v>
      </c>
    </row>
    <row r="102" spans="1:5" ht="30" customHeight="1">
      <c r="A102" s="13" t="s">
        <v>7</v>
      </c>
      <c r="B102" s="1" t="s">
        <v>147</v>
      </c>
      <c r="C102" s="60"/>
      <c r="D102" s="2"/>
      <c r="E102" s="61"/>
    </row>
    <row r="103" spans="1:5" ht="30" customHeight="1">
      <c r="A103" s="13" t="s">
        <v>15</v>
      </c>
      <c r="B103" s="1"/>
      <c r="C103" s="60"/>
      <c r="D103" s="2"/>
      <c r="E103" s="61"/>
    </row>
    <row r="104" spans="1:5" ht="30" customHeight="1" thickBot="1">
      <c r="A104" s="13" t="s">
        <v>8</v>
      </c>
      <c r="B104" s="1" t="s">
        <v>47</v>
      </c>
      <c r="C104" s="62"/>
      <c r="D104" s="63"/>
      <c r="E104" s="64"/>
    </row>
    <row r="105" spans="1:5" ht="30" customHeight="1">
      <c r="A105" s="13" t="s">
        <v>9</v>
      </c>
      <c r="B105" s="1" t="s">
        <v>86</v>
      </c>
      <c r="C105" s="4" t="s">
        <v>11</v>
      </c>
      <c r="D105" s="6">
        <v>40</v>
      </c>
      <c r="E105" s="65"/>
    </row>
    <row r="106" spans="1:5" ht="30" customHeight="1" thickBot="1">
      <c r="A106" s="14" t="s">
        <v>16</v>
      </c>
      <c r="B106" s="20" t="s">
        <v>17</v>
      </c>
      <c r="C106" s="5" t="s">
        <v>0</v>
      </c>
      <c r="D106" s="7">
        <f>IF(D105&lt;0,"valor del indicador fuera de rango",IF(D105&lt;=100,((-0.01*D105)+(1)),"valor del indicador fuera rango"))</f>
        <v>0.6</v>
      </c>
      <c r="E106" s="66"/>
    </row>
    <row r="107" spans="1:5" ht="30" customHeight="1">
      <c r="A107" s="15" t="s">
        <v>14</v>
      </c>
      <c r="B107" s="3" t="s">
        <v>0</v>
      </c>
      <c r="C107" s="147" t="s">
        <v>13</v>
      </c>
      <c r="D107" s="148"/>
      <c r="E107" s="149"/>
    </row>
    <row r="108" spans="1:5" ht="12.95" customHeight="1">
      <c r="A108" s="28">
        <v>0</v>
      </c>
      <c r="B108" s="24">
        <f>-0.01*A108+1</f>
        <v>1</v>
      </c>
      <c r="C108" s="124"/>
      <c r="D108" s="124"/>
      <c r="E108" s="125"/>
    </row>
    <row r="109" spans="1:5" ht="12.95" customHeight="1">
      <c r="A109" s="29">
        <f>A108+5</f>
        <v>5</v>
      </c>
      <c r="B109" s="24">
        <f aca="true" t="shared" si="6" ref="B109:B124">-0.01*A109+1</f>
        <v>0.95</v>
      </c>
      <c r="C109" s="126"/>
      <c r="D109" s="124"/>
      <c r="E109" s="125"/>
    </row>
    <row r="110" spans="1:5" ht="12.95" customHeight="1">
      <c r="A110" s="29">
        <f aca="true" t="shared" si="7" ref="A110:A120">A109+5</f>
        <v>10</v>
      </c>
      <c r="B110" s="24">
        <f t="shared" si="6"/>
        <v>0.9</v>
      </c>
      <c r="C110" s="126"/>
      <c r="D110" s="124"/>
      <c r="E110" s="125"/>
    </row>
    <row r="111" spans="1:5" ht="12.95" customHeight="1">
      <c r="A111" s="29">
        <f t="shared" si="7"/>
        <v>15</v>
      </c>
      <c r="B111" s="24">
        <f t="shared" si="6"/>
        <v>0.85</v>
      </c>
      <c r="C111" s="126"/>
      <c r="D111" s="124"/>
      <c r="E111" s="125"/>
    </row>
    <row r="112" spans="1:5" ht="12.95" customHeight="1">
      <c r="A112" s="29">
        <f t="shared" si="7"/>
        <v>20</v>
      </c>
      <c r="B112" s="24">
        <f t="shared" si="6"/>
        <v>0.8</v>
      </c>
      <c r="C112" s="126"/>
      <c r="D112" s="124"/>
      <c r="E112" s="125"/>
    </row>
    <row r="113" spans="1:5" ht="12.95" customHeight="1">
      <c r="A113" s="29">
        <f t="shared" si="7"/>
        <v>25</v>
      </c>
      <c r="B113" s="24">
        <f t="shared" si="6"/>
        <v>0.75</v>
      </c>
      <c r="C113" s="126"/>
      <c r="D113" s="124"/>
      <c r="E113" s="125"/>
    </row>
    <row r="114" spans="1:5" ht="12.95" customHeight="1">
      <c r="A114" s="29">
        <f t="shared" si="7"/>
        <v>30</v>
      </c>
      <c r="B114" s="24">
        <f t="shared" si="6"/>
        <v>0.7</v>
      </c>
      <c r="C114" s="126"/>
      <c r="D114" s="124"/>
      <c r="E114" s="125"/>
    </row>
    <row r="115" spans="1:5" ht="12.95" customHeight="1">
      <c r="A115" s="29">
        <f t="shared" si="7"/>
        <v>35</v>
      </c>
      <c r="B115" s="24">
        <f t="shared" si="6"/>
        <v>0.6499999999999999</v>
      </c>
      <c r="C115" s="126"/>
      <c r="D115" s="124"/>
      <c r="E115" s="125"/>
    </row>
    <row r="116" spans="1:5" ht="12.95" customHeight="1">
      <c r="A116" s="29">
        <f t="shared" si="7"/>
        <v>40</v>
      </c>
      <c r="B116" s="24">
        <f t="shared" si="6"/>
        <v>0.6</v>
      </c>
      <c r="C116" s="126"/>
      <c r="D116" s="124"/>
      <c r="E116" s="125"/>
    </row>
    <row r="117" spans="1:5" ht="12.95" customHeight="1">
      <c r="A117" s="29">
        <f t="shared" si="7"/>
        <v>45</v>
      </c>
      <c r="B117" s="24">
        <f t="shared" si="6"/>
        <v>0.55</v>
      </c>
      <c r="C117" s="126"/>
      <c r="D117" s="124"/>
      <c r="E117" s="125"/>
    </row>
    <row r="118" spans="1:5" ht="12.95" customHeight="1">
      <c r="A118" s="29">
        <f t="shared" si="7"/>
        <v>50</v>
      </c>
      <c r="B118" s="24">
        <f t="shared" si="6"/>
        <v>0.5</v>
      </c>
      <c r="C118" s="126"/>
      <c r="D118" s="124"/>
      <c r="E118" s="125"/>
    </row>
    <row r="119" spans="1:5" ht="12.95" customHeight="1">
      <c r="A119" s="29">
        <f t="shared" si="7"/>
        <v>55</v>
      </c>
      <c r="B119" s="24">
        <f t="shared" si="6"/>
        <v>0.44999999999999996</v>
      </c>
      <c r="C119" s="126"/>
      <c r="D119" s="124"/>
      <c r="E119" s="125"/>
    </row>
    <row r="120" spans="1:5" ht="12.95" customHeight="1">
      <c r="A120" s="29">
        <f t="shared" si="7"/>
        <v>60</v>
      </c>
      <c r="B120" s="24">
        <f t="shared" si="6"/>
        <v>0.4</v>
      </c>
      <c r="C120" s="126"/>
      <c r="D120" s="124"/>
      <c r="E120" s="125"/>
    </row>
    <row r="121" spans="1:5" ht="12.95" customHeight="1">
      <c r="A121" s="29">
        <v>70</v>
      </c>
      <c r="B121" s="24">
        <f t="shared" si="6"/>
        <v>0.29999999999999993</v>
      </c>
      <c r="C121" s="126"/>
      <c r="D121" s="124"/>
      <c r="E121" s="125"/>
    </row>
    <row r="122" spans="1:5" ht="12.95" customHeight="1">
      <c r="A122" s="29">
        <v>80</v>
      </c>
      <c r="B122" s="24">
        <f t="shared" si="6"/>
        <v>0.19999999999999996</v>
      </c>
      <c r="C122" s="126"/>
      <c r="D122" s="124"/>
      <c r="E122" s="125"/>
    </row>
    <row r="123" spans="1:5" ht="12.95" customHeight="1">
      <c r="A123" s="29">
        <v>90</v>
      </c>
      <c r="B123" s="24">
        <f t="shared" si="6"/>
        <v>0.09999999999999998</v>
      </c>
      <c r="C123" s="126"/>
      <c r="D123" s="124"/>
      <c r="E123" s="125"/>
    </row>
    <row r="124" spans="1:5" ht="12.95" customHeight="1" thickBot="1">
      <c r="A124" s="56">
        <v>100</v>
      </c>
      <c r="B124" s="59">
        <f t="shared" si="6"/>
        <v>0</v>
      </c>
      <c r="C124" s="127"/>
      <c r="D124" s="128"/>
      <c r="E124" s="129"/>
    </row>
    <row r="125" ht="12.95" customHeight="1" thickTop="1"/>
    <row r="126" ht="12.95" customHeight="1" thickBot="1"/>
    <row r="127" spans="1:5" ht="30" customHeight="1" thickTop="1">
      <c r="A127" s="8" t="s">
        <v>12</v>
      </c>
      <c r="B127" s="9">
        <v>39</v>
      </c>
      <c r="C127" s="10" t="s">
        <v>10</v>
      </c>
      <c r="D127" s="11" t="s">
        <v>109</v>
      </c>
      <c r="E127" s="12" t="s">
        <v>149</v>
      </c>
    </row>
    <row r="128" spans="1:5" ht="30" customHeight="1">
      <c r="A128" s="13" t="s">
        <v>7</v>
      </c>
      <c r="B128" s="1" t="s">
        <v>148</v>
      </c>
      <c r="C128" s="60"/>
      <c r="D128" s="2" t="s">
        <v>190</v>
      </c>
      <c r="E128" s="61" t="s">
        <v>150</v>
      </c>
    </row>
    <row r="129" spans="1:5" ht="30" customHeight="1">
      <c r="A129" s="13" t="s">
        <v>15</v>
      </c>
      <c r="B129" s="1"/>
      <c r="C129" s="60"/>
      <c r="D129" s="2" t="s">
        <v>191</v>
      </c>
      <c r="E129" s="61" t="s">
        <v>151</v>
      </c>
    </row>
    <row r="130" spans="1:5" ht="30" customHeight="1" thickBot="1">
      <c r="A130" s="13" t="s">
        <v>8</v>
      </c>
      <c r="B130" s="1" t="s">
        <v>156</v>
      </c>
      <c r="C130" s="62"/>
      <c r="D130" s="63"/>
      <c r="E130" s="64"/>
    </row>
    <row r="131" spans="1:5" ht="30" customHeight="1">
      <c r="A131" s="13" t="s">
        <v>9</v>
      </c>
      <c r="B131" s="1" t="s">
        <v>169</v>
      </c>
      <c r="C131" s="4" t="s">
        <v>11</v>
      </c>
      <c r="D131" s="6">
        <v>9.5</v>
      </c>
      <c r="E131" s="65"/>
    </row>
    <row r="132" spans="1:5" ht="30" customHeight="1" thickBot="1">
      <c r="A132" s="14" t="s">
        <v>16</v>
      </c>
      <c r="B132" s="20" t="s">
        <v>17</v>
      </c>
      <c r="C132" s="5" t="s">
        <v>0</v>
      </c>
      <c r="D132" s="7">
        <f>IF(D131&lt;0,"valor del indicador fuera de rango",IF(D131&lt;=2.5,1,IF(D131&lt;=9,-0.0118*(D131^2)+(0.0592*D131)+0.926,IF(D131&lt;=10,-0.0556*(D131^2)+(0.556*D131),"valor del indicador fuera rango"))))</f>
        <v>0.2641</v>
      </c>
      <c r="E132" s="66"/>
    </row>
    <row r="133" spans="1:5" ht="30" customHeight="1">
      <c r="A133" s="15" t="s">
        <v>14</v>
      </c>
      <c r="B133" s="3" t="s">
        <v>0</v>
      </c>
      <c r="C133" s="147" t="s">
        <v>13</v>
      </c>
      <c r="D133" s="148"/>
      <c r="E133" s="149"/>
    </row>
    <row r="134" spans="1:5" ht="12.95" customHeight="1">
      <c r="A134" s="130">
        <v>0</v>
      </c>
      <c r="B134" s="24">
        <f>1</f>
        <v>1</v>
      </c>
      <c r="C134" s="124"/>
      <c r="D134" s="124"/>
      <c r="E134" s="125"/>
    </row>
    <row r="135" spans="1:5" ht="12.95" customHeight="1">
      <c r="A135" s="131">
        <v>0.5</v>
      </c>
      <c r="B135" s="24">
        <f>1</f>
        <v>1</v>
      </c>
      <c r="C135" s="126"/>
      <c r="D135" s="124"/>
      <c r="E135" s="125"/>
    </row>
    <row r="136" spans="1:5" ht="12.95" customHeight="1">
      <c r="A136" s="131">
        <v>1</v>
      </c>
      <c r="B136" s="24">
        <f>1</f>
        <v>1</v>
      </c>
      <c r="C136" s="126"/>
      <c r="D136" s="124"/>
      <c r="E136" s="125"/>
    </row>
    <row r="137" spans="1:5" ht="12.95" customHeight="1">
      <c r="A137" s="131">
        <v>1.5</v>
      </c>
      <c r="B137" s="24">
        <f>1</f>
        <v>1</v>
      </c>
      <c r="C137" s="126"/>
      <c r="D137" s="124"/>
      <c r="E137" s="125"/>
    </row>
    <row r="138" spans="1:5" ht="12.95" customHeight="1">
      <c r="A138" s="131">
        <v>2</v>
      </c>
      <c r="B138" s="24">
        <f>1</f>
        <v>1</v>
      </c>
      <c r="C138" s="126"/>
      <c r="D138" s="124"/>
      <c r="E138" s="125"/>
    </row>
    <row r="139" spans="1:5" ht="12.95" customHeight="1">
      <c r="A139" s="131">
        <v>2.5</v>
      </c>
      <c r="B139" s="24">
        <f>1</f>
        <v>1</v>
      </c>
      <c r="C139" s="126"/>
      <c r="D139" s="124"/>
      <c r="E139" s="125"/>
    </row>
    <row r="140" spans="1:5" ht="12.95" customHeight="1">
      <c r="A140" s="132">
        <v>3</v>
      </c>
      <c r="B140" s="26">
        <f>-0.0118*A140^2+0.0592*A140+0.926</f>
        <v>0.9974000000000001</v>
      </c>
      <c r="C140" s="126"/>
      <c r="D140" s="124"/>
      <c r="E140" s="125"/>
    </row>
    <row r="141" spans="1:5" ht="12.95" customHeight="1">
      <c r="A141" s="132">
        <v>3.5</v>
      </c>
      <c r="B141" s="26">
        <f aca="true" t="shared" si="8" ref="B141:B151">-0.0118*A141^2+0.0592*A141+0.926</f>
        <v>0.98865</v>
      </c>
      <c r="C141" s="126"/>
      <c r="D141" s="124"/>
      <c r="E141" s="125"/>
    </row>
    <row r="142" spans="1:5" ht="12.95" customHeight="1">
      <c r="A142" s="132">
        <v>4</v>
      </c>
      <c r="B142" s="26">
        <f t="shared" si="8"/>
        <v>0.9740000000000001</v>
      </c>
      <c r="C142" s="126"/>
      <c r="D142" s="124"/>
      <c r="E142" s="125"/>
    </row>
    <row r="143" spans="1:5" ht="12.95" customHeight="1">
      <c r="A143" s="132">
        <v>4.5</v>
      </c>
      <c r="B143" s="26">
        <f t="shared" si="8"/>
        <v>0.9534500000000001</v>
      </c>
      <c r="C143" s="126"/>
      <c r="D143" s="124"/>
      <c r="E143" s="125"/>
    </row>
    <row r="144" spans="1:5" ht="12.95" customHeight="1">
      <c r="A144" s="132">
        <v>5</v>
      </c>
      <c r="B144" s="26">
        <f t="shared" si="8"/>
        <v>0.927</v>
      </c>
      <c r="C144" s="126"/>
      <c r="D144" s="124"/>
      <c r="E144" s="125"/>
    </row>
    <row r="145" spans="1:5" ht="12.95" customHeight="1">
      <c r="A145" s="132">
        <v>5.5</v>
      </c>
      <c r="B145" s="26">
        <f t="shared" si="8"/>
        <v>0.8946500000000001</v>
      </c>
      <c r="C145" s="126"/>
      <c r="D145" s="124"/>
      <c r="E145" s="125"/>
    </row>
    <row r="146" spans="1:5" ht="12.95" customHeight="1">
      <c r="A146" s="132">
        <v>6</v>
      </c>
      <c r="B146" s="26">
        <f t="shared" si="8"/>
        <v>0.8564</v>
      </c>
      <c r="C146" s="126"/>
      <c r="D146" s="124"/>
      <c r="E146" s="125"/>
    </row>
    <row r="147" spans="1:5" ht="12.95" customHeight="1">
      <c r="A147" s="132">
        <v>6.5</v>
      </c>
      <c r="B147" s="26">
        <f t="shared" si="8"/>
        <v>0.8122500000000001</v>
      </c>
      <c r="C147" s="126"/>
      <c r="D147" s="124"/>
      <c r="E147" s="125"/>
    </row>
    <row r="148" spans="1:5" ht="12.95" customHeight="1">
      <c r="A148" s="132">
        <v>7</v>
      </c>
      <c r="B148" s="26">
        <f t="shared" si="8"/>
        <v>0.7622000000000001</v>
      </c>
      <c r="C148" s="126"/>
      <c r="D148" s="124"/>
      <c r="E148" s="125"/>
    </row>
    <row r="149" spans="1:5" ht="12.95" customHeight="1">
      <c r="A149" s="132">
        <v>8</v>
      </c>
      <c r="B149" s="26">
        <f t="shared" si="8"/>
        <v>0.6444000000000001</v>
      </c>
      <c r="C149" s="126"/>
      <c r="D149" s="124"/>
      <c r="E149" s="125"/>
    </row>
    <row r="150" spans="1:5" ht="12.95" customHeight="1">
      <c r="A150" s="132">
        <v>8.5</v>
      </c>
      <c r="B150" s="26">
        <f t="shared" si="8"/>
        <v>0.57665</v>
      </c>
      <c r="C150" s="126"/>
      <c r="D150" s="124"/>
      <c r="E150" s="125"/>
    </row>
    <row r="151" spans="1:5" ht="12.95" customHeight="1">
      <c r="A151" s="132">
        <v>9</v>
      </c>
      <c r="B151" s="26">
        <f t="shared" si="8"/>
        <v>0.5030000000000001</v>
      </c>
      <c r="C151" s="126"/>
      <c r="D151" s="124"/>
      <c r="E151" s="125"/>
    </row>
    <row r="152" spans="1:5" ht="12.95" customHeight="1">
      <c r="A152" s="133">
        <v>9.5</v>
      </c>
      <c r="B152" s="27">
        <f>-0.0556*(A152^2)+0.556*(A152)</f>
        <v>0.2641</v>
      </c>
      <c r="C152" s="126"/>
      <c r="D152" s="124"/>
      <c r="E152" s="125"/>
    </row>
    <row r="153" spans="1:5" ht="12.95" customHeight="1" thickBot="1">
      <c r="A153" s="134">
        <v>10</v>
      </c>
      <c r="B153" s="52">
        <f>-0.0556*(A153^2)+0.556*(A153)</f>
        <v>0</v>
      </c>
      <c r="C153" s="127"/>
      <c r="D153" s="128"/>
      <c r="E153" s="129"/>
    </row>
    <row r="154" ht="12.95" customHeight="1" thickTop="1"/>
  </sheetData>
  <mergeCells count="5">
    <mergeCell ref="C133:E133"/>
    <mergeCell ref="C7:E7"/>
    <mergeCell ref="C39:E39"/>
    <mergeCell ref="C73:E73"/>
    <mergeCell ref="C107:E10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B1">
      <selection activeCell="C42" sqref="C42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40</v>
      </c>
      <c r="C1" s="10" t="s">
        <v>10</v>
      </c>
      <c r="D1" s="33" t="s">
        <v>109</v>
      </c>
      <c r="E1" s="34" t="s">
        <v>153</v>
      </c>
    </row>
    <row r="2" spans="1:5" s="38" customFormat="1" ht="30" customHeight="1">
      <c r="A2" s="13" t="s">
        <v>7</v>
      </c>
      <c r="B2" s="35" t="s">
        <v>152</v>
      </c>
      <c r="C2" s="39"/>
      <c r="D2" s="36" t="s">
        <v>192</v>
      </c>
      <c r="E2" s="40" t="s">
        <v>154</v>
      </c>
    </row>
    <row r="3" spans="1:5" s="38" customFormat="1" ht="30" customHeight="1">
      <c r="A3" s="13" t="s">
        <v>15</v>
      </c>
      <c r="B3" s="35"/>
      <c r="C3" s="39"/>
      <c r="D3" s="36" t="s">
        <v>193</v>
      </c>
      <c r="E3" s="40" t="s">
        <v>155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170</v>
      </c>
      <c r="C5" s="4" t="s">
        <v>11</v>
      </c>
      <c r="D5" s="6">
        <v>5</v>
      </c>
      <c r="E5" s="44"/>
    </row>
    <row r="6" spans="1:5" s="38" customFormat="1" ht="30" customHeight="1" thickBot="1">
      <c r="A6" s="14" t="s">
        <v>16</v>
      </c>
      <c r="B6" s="20" t="s">
        <v>181</v>
      </c>
      <c r="C6" s="5" t="s">
        <v>0</v>
      </c>
      <c r="D6" s="7">
        <f>IF(D5&lt;0,"valor del indicador fuera de rango",IF(D5&lt;=2,1,IF(D5&lt;=4,-0.375*(D5)+1.75,IF(D5&lt;=6,-0.125*(D5)+0.75,"valor del indicador fuera rango"))))</f>
        <v>0.125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>1</f>
        <v>1</v>
      </c>
      <c r="C8" s="47"/>
      <c r="D8" s="47"/>
      <c r="E8" s="48"/>
    </row>
    <row r="9" spans="1:5" ht="12.95" customHeight="1">
      <c r="A9" s="131">
        <v>0.1</v>
      </c>
      <c r="B9" s="24">
        <f>1</f>
        <v>1</v>
      </c>
      <c r="C9" s="25"/>
      <c r="D9" s="47"/>
      <c r="E9" s="48"/>
    </row>
    <row r="10" spans="1:5" ht="12.95" customHeight="1">
      <c r="A10" s="131">
        <f aca="true" t="shared" si="0" ref="A10:A27">+A9+0.3</f>
        <v>0.4</v>
      </c>
      <c r="B10" s="24">
        <f>1</f>
        <v>1</v>
      </c>
      <c r="C10" s="25"/>
      <c r="D10" s="47"/>
      <c r="E10" s="48"/>
    </row>
    <row r="11" spans="1:5" ht="12.95" customHeight="1">
      <c r="A11" s="131">
        <f t="shared" si="0"/>
        <v>0.7</v>
      </c>
      <c r="B11" s="24">
        <f>1</f>
        <v>1</v>
      </c>
      <c r="C11" s="25"/>
      <c r="D11" s="47"/>
      <c r="E11" s="48"/>
    </row>
    <row r="12" spans="1:5" ht="12.95" customHeight="1">
      <c r="A12" s="131">
        <f t="shared" si="0"/>
        <v>1</v>
      </c>
      <c r="B12" s="24">
        <f>1</f>
        <v>1</v>
      </c>
      <c r="C12" s="25"/>
      <c r="D12" s="47"/>
      <c r="E12" s="48"/>
    </row>
    <row r="13" spans="1:5" ht="12.95" customHeight="1">
      <c r="A13" s="131">
        <f t="shared" si="0"/>
        <v>1.3</v>
      </c>
      <c r="B13" s="24">
        <f>1</f>
        <v>1</v>
      </c>
      <c r="C13" s="25"/>
      <c r="D13" s="47"/>
      <c r="E13" s="48"/>
    </row>
    <row r="14" spans="1:5" ht="12.95" customHeight="1">
      <c r="A14" s="131">
        <f t="shared" si="0"/>
        <v>1.6</v>
      </c>
      <c r="B14" s="24">
        <f>1</f>
        <v>1</v>
      </c>
      <c r="C14" s="25"/>
      <c r="D14" s="47"/>
      <c r="E14" s="48"/>
    </row>
    <row r="15" spans="1:5" ht="12.95" customHeight="1">
      <c r="A15" s="131">
        <f t="shared" si="0"/>
        <v>1.9000000000000001</v>
      </c>
      <c r="B15" s="24">
        <f>1</f>
        <v>1</v>
      </c>
      <c r="C15" s="25"/>
      <c r="D15" s="47"/>
      <c r="E15" s="48"/>
    </row>
    <row r="16" spans="1:5" ht="12.95" customHeight="1">
      <c r="A16" s="132">
        <f t="shared" si="0"/>
        <v>2.2</v>
      </c>
      <c r="B16" s="26">
        <f aca="true" t="shared" si="1" ref="B16:B21">-0.375*A16+1.75</f>
        <v>0.9249999999999999</v>
      </c>
      <c r="C16" s="25"/>
      <c r="D16" s="47"/>
      <c r="E16" s="48"/>
    </row>
    <row r="17" spans="1:5" ht="12.95" customHeight="1">
      <c r="A17" s="132">
        <f t="shared" si="0"/>
        <v>2.5</v>
      </c>
      <c r="B17" s="26">
        <f t="shared" si="1"/>
        <v>0.8125</v>
      </c>
      <c r="C17" s="25"/>
      <c r="D17" s="47"/>
      <c r="E17" s="48"/>
    </row>
    <row r="18" spans="1:5" ht="12.95" customHeight="1">
      <c r="A18" s="132">
        <f t="shared" si="0"/>
        <v>2.8</v>
      </c>
      <c r="B18" s="26">
        <f t="shared" si="1"/>
        <v>0.7000000000000002</v>
      </c>
      <c r="C18" s="25"/>
      <c r="D18" s="47"/>
      <c r="E18" s="48"/>
    </row>
    <row r="19" spans="1:5" ht="12.95" customHeight="1">
      <c r="A19" s="132">
        <f t="shared" si="0"/>
        <v>3.0999999999999996</v>
      </c>
      <c r="B19" s="26">
        <f t="shared" si="1"/>
        <v>0.5875000000000001</v>
      </c>
      <c r="C19" s="25"/>
      <c r="D19" s="47"/>
      <c r="E19" s="48"/>
    </row>
    <row r="20" spans="1:5" ht="12.95" customHeight="1">
      <c r="A20" s="132">
        <f t="shared" si="0"/>
        <v>3.3999999999999995</v>
      </c>
      <c r="B20" s="26">
        <f t="shared" si="1"/>
        <v>0.4750000000000001</v>
      </c>
      <c r="C20" s="25"/>
      <c r="D20" s="47"/>
      <c r="E20" s="48"/>
    </row>
    <row r="21" spans="1:5" ht="12.95" customHeight="1">
      <c r="A21" s="132">
        <f t="shared" si="0"/>
        <v>3.6999999999999993</v>
      </c>
      <c r="B21" s="26">
        <f t="shared" si="1"/>
        <v>0.36250000000000027</v>
      </c>
      <c r="C21" s="25"/>
      <c r="D21" s="47"/>
      <c r="E21" s="48"/>
    </row>
    <row r="22" spans="1:5" ht="12.95" customHeight="1">
      <c r="A22" s="133">
        <f t="shared" si="0"/>
        <v>3.999999999999999</v>
      </c>
      <c r="B22" s="27">
        <f aca="true" t="shared" si="2" ref="B22:B29">-0.125*A22+0.75</f>
        <v>0.2500000000000001</v>
      </c>
      <c r="C22" s="25"/>
      <c r="D22" s="47"/>
      <c r="E22" s="48"/>
    </row>
    <row r="23" spans="1:5" ht="12.95" customHeight="1">
      <c r="A23" s="133">
        <f>+A22+0.3</f>
        <v>4.299999999999999</v>
      </c>
      <c r="B23" s="27">
        <f t="shared" si="2"/>
        <v>0.21250000000000013</v>
      </c>
      <c r="C23" s="25"/>
      <c r="D23" s="47"/>
      <c r="E23" s="48"/>
    </row>
    <row r="24" spans="1:5" ht="12.95" customHeight="1">
      <c r="A24" s="133">
        <f t="shared" si="0"/>
        <v>4.599999999999999</v>
      </c>
      <c r="B24" s="27">
        <f t="shared" si="2"/>
        <v>0.17500000000000016</v>
      </c>
      <c r="C24" s="25"/>
      <c r="D24" s="47"/>
      <c r="E24" s="48"/>
    </row>
    <row r="25" spans="1:5" ht="12.95" customHeight="1">
      <c r="A25" s="133">
        <f t="shared" si="0"/>
        <v>4.899999999999999</v>
      </c>
      <c r="B25" s="27">
        <f t="shared" si="2"/>
        <v>0.13750000000000018</v>
      </c>
      <c r="C25" s="25"/>
      <c r="D25" s="47"/>
      <c r="E25" s="48"/>
    </row>
    <row r="26" spans="1:5" ht="12.95" customHeight="1">
      <c r="A26" s="133">
        <f t="shared" si="0"/>
        <v>5.199999999999998</v>
      </c>
      <c r="B26" s="27">
        <f t="shared" si="2"/>
        <v>0.1000000000000002</v>
      </c>
      <c r="C26" s="25"/>
      <c r="D26" s="47"/>
      <c r="E26" s="48"/>
    </row>
    <row r="27" spans="1:5" ht="12.95" customHeight="1">
      <c r="A27" s="133">
        <f t="shared" si="0"/>
        <v>5.499999999999998</v>
      </c>
      <c r="B27" s="27">
        <f t="shared" si="2"/>
        <v>0.06250000000000022</v>
      </c>
      <c r="C27" s="25"/>
      <c r="D27" s="47"/>
      <c r="E27" s="48"/>
    </row>
    <row r="28" spans="1:5" ht="12.95" customHeight="1">
      <c r="A28" s="133">
        <f>+A27+0.3</f>
        <v>5.799999999999998</v>
      </c>
      <c r="B28" s="27">
        <f t="shared" si="2"/>
        <v>0.025000000000000244</v>
      </c>
      <c r="C28" s="25"/>
      <c r="D28" s="47"/>
      <c r="E28" s="48"/>
    </row>
    <row r="29" spans="1:5" ht="12.95" customHeight="1" thickBot="1">
      <c r="A29" s="134">
        <v>6</v>
      </c>
      <c r="B29" s="52">
        <f t="shared" si="2"/>
        <v>0</v>
      </c>
      <c r="C29" s="53"/>
      <c r="D29" s="49"/>
      <c r="E29" s="50"/>
    </row>
    <row r="30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zoomScale="75" zoomScaleNormal="75" workbookViewId="0" topLeftCell="A61">
      <selection activeCell="C146" sqref="C14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ht="30" customHeight="1" thickTop="1">
      <c r="A1" s="8" t="s">
        <v>12</v>
      </c>
      <c r="B1" s="91">
        <v>41</v>
      </c>
      <c r="C1" s="10" t="s">
        <v>10</v>
      </c>
      <c r="D1" s="92" t="s">
        <v>194</v>
      </c>
      <c r="E1" s="93" t="s">
        <v>158</v>
      </c>
    </row>
    <row r="2" spans="1:5" ht="30" customHeight="1">
      <c r="A2" s="13" t="s">
        <v>7</v>
      </c>
      <c r="B2" s="19" t="s">
        <v>157</v>
      </c>
      <c r="C2" s="21"/>
      <c r="D2" s="18" t="s">
        <v>161</v>
      </c>
      <c r="E2" s="94" t="s">
        <v>159</v>
      </c>
    </row>
    <row r="3" spans="1:5" ht="30" customHeight="1">
      <c r="A3" s="13" t="s">
        <v>15</v>
      </c>
      <c r="B3" s="19"/>
      <c r="C3" s="21"/>
      <c r="D3" s="18" t="s">
        <v>195</v>
      </c>
      <c r="E3" s="94" t="s">
        <v>160</v>
      </c>
    </row>
    <row r="4" spans="1:5" ht="30" customHeight="1" thickBot="1">
      <c r="A4" s="13" t="s">
        <v>8</v>
      </c>
      <c r="B4" s="17" t="s">
        <v>93</v>
      </c>
      <c r="C4" s="22"/>
      <c r="D4" s="23"/>
      <c r="E4" s="95"/>
    </row>
    <row r="5" spans="1:5" ht="30" customHeight="1">
      <c r="A5" s="13" t="s">
        <v>9</v>
      </c>
      <c r="B5" s="19" t="s">
        <v>171</v>
      </c>
      <c r="C5" s="4" t="s">
        <v>11</v>
      </c>
      <c r="D5" s="6">
        <v>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rango",IF(D5&lt;=0.667,-0.446*(D5^2)+1,IF(D5&lt;=1.33,-0.606*D5+1.21,IF(D5&lt;=2,(0.337*D5^2)-(1.35*D5)+1.6,"valor del indicador fuera del rango"))))</f>
        <v>0.248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 aca="true" t="shared" si="0" ref="B8:B14">(-0.446*A8^2)+1</f>
        <v>1</v>
      </c>
      <c r="C8" s="47"/>
      <c r="D8" s="47"/>
      <c r="E8" s="48"/>
    </row>
    <row r="9" spans="1:5" ht="12.95" customHeight="1">
      <c r="A9" s="131">
        <v>0.1</v>
      </c>
      <c r="B9" s="24">
        <f t="shared" si="0"/>
        <v>0.99554</v>
      </c>
      <c r="C9" s="25"/>
      <c r="D9" s="47"/>
      <c r="E9" s="48"/>
    </row>
    <row r="10" spans="1:5" ht="12.95" customHeight="1">
      <c r="A10" s="131">
        <v>0.2</v>
      </c>
      <c r="B10" s="24">
        <f t="shared" si="0"/>
        <v>0.98216</v>
      </c>
      <c r="C10" s="25"/>
      <c r="D10" s="47"/>
      <c r="E10" s="48"/>
    </row>
    <row r="11" spans="1:5" ht="12.95" customHeight="1">
      <c r="A11" s="131">
        <v>0.3</v>
      </c>
      <c r="B11" s="24">
        <f t="shared" si="0"/>
        <v>0.95986</v>
      </c>
      <c r="C11" s="25"/>
      <c r="D11" s="47"/>
      <c r="E11" s="48"/>
    </row>
    <row r="12" spans="1:5" ht="12.95" customHeight="1">
      <c r="A12" s="131">
        <v>0.4</v>
      </c>
      <c r="B12" s="24">
        <f t="shared" si="0"/>
        <v>0.92864</v>
      </c>
      <c r="C12" s="25"/>
      <c r="D12" s="47"/>
      <c r="E12" s="48"/>
    </row>
    <row r="13" spans="1:5" ht="12.95" customHeight="1">
      <c r="A13" s="131">
        <v>0.5</v>
      </c>
      <c r="B13" s="24">
        <f t="shared" si="0"/>
        <v>0.8885</v>
      </c>
      <c r="C13" s="25"/>
      <c r="D13" s="47"/>
      <c r="E13" s="48"/>
    </row>
    <row r="14" spans="1:5" ht="12.95" customHeight="1">
      <c r="A14" s="131">
        <v>0.6</v>
      </c>
      <c r="B14" s="24">
        <f t="shared" si="0"/>
        <v>0.83944</v>
      </c>
      <c r="C14" s="25"/>
      <c r="D14" s="47"/>
      <c r="E14" s="48"/>
    </row>
    <row r="15" spans="1:5" ht="12.95" customHeight="1">
      <c r="A15" s="132">
        <v>0.7</v>
      </c>
      <c r="B15" s="26">
        <f aca="true" t="shared" si="1" ref="B15:B20">-0.606*A15+1.21</f>
        <v>0.7858</v>
      </c>
      <c r="C15" s="25"/>
      <c r="D15" s="47"/>
      <c r="E15" s="48"/>
    </row>
    <row r="16" spans="1:5" ht="12.95" customHeight="1">
      <c r="A16" s="132">
        <v>0.8</v>
      </c>
      <c r="B16" s="26">
        <f t="shared" si="1"/>
        <v>0.7252</v>
      </c>
      <c r="C16" s="25"/>
      <c r="D16" s="47"/>
      <c r="E16" s="48"/>
    </row>
    <row r="17" spans="1:5" ht="12.95" customHeight="1">
      <c r="A17" s="132">
        <v>0.9</v>
      </c>
      <c r="B17" s="26">
        <f t="shared" si="1"/>
        <v>0.6646</v>
      </c>
      <c r="C17" s="25"/>
      <c r="D17" s="47"/>
      <c r="E17" s="48"/>
    </row>
    <row r="18" spans="1:5" ht="12.95" customHeight="1">
      <c r="A18" s="132">
        <v>1</v>
      </c>
      <c r="B18" s="26">
        <f t="shared" si="1"/>
        <v>0.604</v>
      </c>
      <c r="C18" s="25"/>
      <c r="D18" s="47"/>
      <c r="E18" s="48"/>
    </row>
    <row r="19" spans="1:5" ht="12.95" customHeight="1">
      <c r="A19" s="132">
        <v>1.1</v>
      </c>
      <c r="B19" s="26">
        <f t="shared" si="1"/>
        <v>0.5433999999999999</v>
      </c>
      <c r="C19" s="25"/>
      <c r="D19" s="47"/>
      <c r="E19" s="48"/>
    </row>
    <row r="20" spans="1:5" ht="12.95" customHeight="1">
      <c r="A20" s="132">
        <v>1.2</v>
      </c>
      <c r="B20" s="26">
        <f t="shared" si="1"/>
        <v>0.4828</v>
      </c>
      <c r="C20" s="25"/>
      <c r="D20" s="47"/>
      <c r="E20" s="48"/>
    </row>
    <row r="21" spans="1:5" ht="12.95" customHeight="1">
      <c r="A21" s="133">
        <v>1.4</v>
      </c>
      <c r="B21" s="27">
        <f>(0.337*A21^2)-1.35*A21+1.6</f>
        <v>0.3705200000000002</v>
      </c>
      <c r="C21" s="25"/>
      <c r="D21" s="47"/>
      <c r="E21" s="48"/>
    </row>
    <row r="22" spans="1:5" ht="12.95" customHeight="1">
      <c r="A22" s="133">
        <v>1.6</v>
      </c>
      <c r="B22" s="27">
        <f>(0.337*A22^2)-1.35*A22+1.6</f>
        <v>0.3027200000000003</v>
      </c>
      <c r="C22" s="25"/>
      <c r="D22" s="47"/>
      <c r="E22" s="48"/>
    </row>
    <row r="23" spans="1:5" ht="12.95" customHeight="1">
      <c r="A23" s="133">
        <v>1.8</v>
      </c>
      <c r="B23" s="27">
        <f>(0.337*A23^2)-1.35*A23+1.6</f>
        <v>0.2618800000000001</v>
      </c>
      <c r="C23" s="25"/>
      <c r="D23" s="47"/>
      <c r="E23" s="48"/>
    </row>
    <row r="24" spans="1:5" ht="12.95" customHeight="1" thickBot="1">
      <c r="A24" s="134">
        <v>2</v>
      </c>
      <c r="B24" s="52">
        <f>(0.337*A24^2)-1.35*A24+1.6</f>
        <v>0.248</v>
      </c>
      <c r="C24" s="53"/>
      <c r="D24" s="49"/>
      <c r="E24" s="50"/>
    </row>
    <row r="25" ht="12.95" customHeight="1" thickTop="1"/>
    <row r="26" ht="12.95" customHeight="1" thickBot="1"/>
    <row r="27" spans="1:5" ht="30" customHeight="1" thickTop="1">
      <c r="A27" s="8" t="s">
        <v>12</v>
      </c>
      <c r="B27" s="91">
        <v>42</v>
      </c>
      <c r="C27" s="10" t="s">
        <v>10</v>
      </c>
      <c r="D27" s="92" t="s">
        <v>194</v>
      </c>
      <c r="E27" s="93" t="s">
        <v>158</v>
      </c>
    </row>
    <row r="28" spans="1:5" ht="30" customHeight="1">
      <c r="A28" s="13" t="s">
        <v>7</v>
      </c>
      <c r="B28" s="19" t="s">
        <v>162</v>
      </c>
      <c r="C28" s="21"/>
      <c r="D28" s="18" t="s">
        <v>161</v>
      </c>
      <c r="E28" s="94" t="s">
        <v>159</v>
      </c>
    </row>
    <row r="29" spans="1:5" ht="30" customHeight="1">
      <c r="A29" s="13" t="s">
        <v>15</v>
      </c>
      <c r="B29" s="19"/>
      <c r="C29" s="21"/>
      <c r="D29" s="18" t="s">
        <v>195</v>
      </c>
      <c r="E29" s="94" t="s">
        <v>160</v>
      </c>
    </row>
    <row r="30" spans="1:5" ht="30" customHeight="1" thickBot="1">
      <c r="A30" s="13" t="s">
        <v>8</v>
      </c>
      <c r="B30" s="17" t="s">
        <v>93</v>
      </c>
      <c r="C30" s="22"/>
      <c r="D30" s="23"/>
      <c r="E30" s="95"/>
    </row>
    <row r="31" spans="1:5" ht="30" customHeight="1">
      <c r="A31" s="13" t="s">
        <v>9</v>
      </c>
      <c r="B31" s="19" t="s">
        <v>171</v>
      </c>
      <c r="C31" s="4" t="s">
        <v>11</v>
      </c>
      <c r="D31" s="6">
        <v>2</v>
      </c>
      <c r="E31" s="120"/>
    </row>
    <row r="32" spans="1:5" ht="30" customHeight="1" thickBot="1">
      <c r="A32" s="14" t="s">
        <v>16</v>
      </c>
      <c r="B32" s="20" t="s">
        <v>17</v>
      </c>
      <c r="C32" s="5" t="s">
        <v>0</v>
      </c>
      <c r="D32" s="7">
        <f>IF(D31&lt;0,"valor del indicador fuera de rango",IF(D31&lt;=0.667,-0.446*(D31^2)+1,IF(D31&lt;=1.33,-0.606*D31+1.21,IF(D31&lt;=2,(0.337*D31^2)-(1.35*D31)+1.6,"valor del indicador fuera del rango"))))</f>
        <v>0.248</v>
      </c>
      <c r="E32" s="121"/>
    </row>
    <row r="33" spans="1:5" ht="30" customHeight="1">
      <c r="A33" s="15" t="s">
        <v>14</v>
      </c>
      <c r="B33" s="3" t="s">
        <v>0</v>
      </c>
      <c r="C33" s="146" t="s">
        <v>13</v>
      </c>
      <c r="D33" s="144"/>
      <c r="E33" s="145"/>
    </row>
    <row r="34" spans="1:5" ht="12.95" customHeight="1">
      <c r="A34" s="130">
        <v>0</v>
      </c>
      <c r="B34" s="24">
        <f aca="true" t="shared" si="2" ref="B34:B40">(-0.446*A34^2)+1</f>
        <v>1</v>
      </c>
      <c r="C34" s="47"/>
      <c r="D34" s="47"/>
      <c r="E34" s="48"/>
    </row>
    <row r="35" spans="1:5" ht="12.95" customHeight="1">
      <c r="A35" s="131">
        <v>0.1</v>
      </c>
      <c r="B35" s="24">
        <f t="shared" si="2"/>
        <v>0.99554</v>
      </c>
      <c r="C35" s="25"/>
      <c r="D35" s="47"/>
      <c r="E35" s="48"/>
    </row>
    <row r="36" spans="1:5" ht="12.95" customHeight="1">
      <c r="A36" s="131">
        <v>0.2</v>
      </c>
      <c r="B36" s="24">
        <f t="shared" si="2"/>
        <v>0.98216</v>
      </c>
      <c r="C36" s="25"/>
      <c r="D36" s="47"/>
      <c r="E36" s="48"/>
    </row>
    <row r="37" spans="1:5" ht="12.95" customHeight="1">
      <c r="A37" s="131">
        <v>0.3</v>
      </c>
      <c r="B37" s="24">
        <f t="shared" si="2"/>
        <v>0.95986</v>
      </c>
      <c r="C37" s="25"/>
      <c r="D37" s="47"/>
      <c r="E37" s="48"/>
    </row>
    <row r="38" spans="1:5" ht="12.95" customHeight="1">
      <c r="A38" s="131">
        <v>0.4</v>
      </c>
      <c r="B38" s="24">
        <f t="shared" si="2"/>
        <v>0.92864</v>
      </c>
      <c r="C38" s="25"/>
      <c r="D38" s="47"/>
      <c r="E38" s="48"/>
    </row>
    <row r="39" spans="1:5" ht="12.95" customHeight="1">
      <c r="A39" s="131">
        <v>0.5</v>
      </c>
      <c r="B39" s="24">
        <f t="shared" si="2"/>
        <v>0.8885</v>
      </c>
      <c r="C39" s="25"/>
      <c r="D39" s="47"/>
      <c r="E39" s="48"/>
    </row>
    <row r="40" spans="1:5" ht="12.95" customHeight="1">
      <c r="A40" s="131">
        <v>0.6</v>
      </c>
      <c r="B40" s="24">
        <f t="shared" si="2"/>
        <v>0.83944</v>
      </c>
      <c r="C40" s="25"/>
      <c r="D40" s="47"/>
      <c r="E40" s="48"/>
    </row>
    <row r="41" spans="1:5" ht="12.95" customHeight="1">
      <c r="A41" s="132">
        <v>0.7</v>
      </c>
      <c r="B41" s="26">
        <f aca="true" t="shared" si="3" ref="B41:B46">-0.606*A41+1.21</f>
        <v>0.7858</v>
      </c>
      <c r="C41" s="25"/>
      <c r="D41" s="47"/>
      <c r="E41" s="48"/>
    </row>
    <row r="42" spans="1:5" ht="12.95" customHeight="1">
      <c r="A42" s="132">
        <v>0.8</v>
      </c>
      <c r="B42" s="26">
        <f t="shared" si="3"/>
        <v>0.7252</v>
      </c>
      <c r="C42" s="25"/>
      <c r="D42" s="47"/>
      <c r="E42" s="48"/>
    </row>
    <row r="43" spans="1:5" ht="12.95" customHeight="1">
      <c r="A43" s="132">
        <v>0.9</v>
      </c>
      <c r="B43" s="26">
        <f t="shared" si="3"/>
        <v>0.6646</v>
      </c>
      <c r="C43" s="25"/>
      <c r="D43" s="47"/>
      <c r="E43" s="48"/>
    </row>
    <row r="44" spans="1:5" ht="12.95" customHeight="1">
      <c r="A44" s="132">
        <v>1</v>
      </c>
      <c r="B44" s="26">
        <f t="shared" si="3"/>
        <v>0.604</v>
      </c>
      <c r="C44" s="25"/>
      <c r="D44" s="47"/>
      <c r="E44" s="48"/>
    </row>
    <row r="45" spans="1:5" ht="12.95" customHeight="1">
      <c r="A45" s="132">
        <v>1.1</v>
      </c>
      <c r="B45" s="26">
        <f t="shared" si="3"/>
        <v>0.5433999999999999</v>
      </c>
      <c r="C45" s="25"/>
      <c r="D45" s="47"/>
      <c r="E45" s="48"/>
    </row>
    <row r="46" spans="1:5" ht="12.95" customHeight="1">
      <c r="A46" s="132">
        <v>1.2</v>
      </c>
      <c r="B46" s="26">
        <f t="shared" si="3"/>
        <v>0.4828</v>
      </c>
      <c r="C46" s="25"/>
      <c r="D46" s="47"/>
      <c r="E46" s="48"/>
    </row>
    <row r="47" spans="1:5" ht="12.95" customHeight="1">
      <c r="A47" s="133">
        <v>1.4</v>
      </c>
      <c r="B47" s="27">
        <f aca="true" t="shared" si="4" ref="B47:B52">(0.337*A47^2)-1.35*A47+1.6</f>
        <v>0.3705200000000002</v>
      </c>
      <c r="C47" s="25"/>
      <c r="D47" s="47"/>
      <c r="E47" s="48"/>
    </row>
    <row r="48" spans="1:5" ht="12.95" customHeight="1">
      <c r="A48" s="133">
        <v>1.5</v>
      </c>
      <c r="B48" s="27">
        <f t="shared" si="4"/>
        <v>0.3332499999999998</v>
      </c>
      <c r="C48" s="25"/>
      <c r="D48" s="47"/>
      <c r="E48" s="48"/>
    </row>
    <row r="49" spans="1:5" ht="12.95" customHeight="1">
      <c r="A49" s="133">
        <v>1.6</v>
      </c>
      <c r="B49" s="27">
        <f t="shared" si="4"/>
        <v>0.3027200000000003</v>
      </c>
      <c r="C49" s="25"/>
      <c r="D49" s="47"/>
      <c r="E49" s="48"/>
    </row>
    <row r="50" spans="1:5" ht="12.95" customHeight="1">
      <c r="A50" s="133">
        <v>1.8</v>
      </c>
      <c r="B50" s="27">
        <f t="shared" si="4"/>
        <v>0.2618800000000001</v>
      </c>
      <c r="C50" s="25"/>
      <c r="D50" s="47"/>
      <c r="E50" s="48"/>
    </row>
    <row r="51" spans="1:5" ht="12.95" customHeight="1">
      <c r="A51" s="133">
        <v>1.9</v>
      </c>
      <c r="B51" s="27">
        <f t="shared" si="4"/>
        <v>0.25157000000000007</v>
      </c>
      <c r="C51" s="25"/>
      <c r="D51" s="47"/>
      <c r="E51" s="48"/>
    </row>
    <row r="52" spans="1:5" ht="12.95" customHeight="1" thickBot="1">
      <c r="A52" s="134">
        <v>2</v>
      </c>
      <c r="B52" s="52">
        <f t="shared" si="4"/>
        <v>0.248</v>
      </c>
      <c r="C52" s="53"/>
      <c r="D52" s="49"/>
      <c r="E52" s="50"/>
    </row>
    <row r="53" ht="12.95" customHeight="1" thickTop="1"/>
    <row r="54" ht="12.95" customHeight="1" thickBot="1"/>
    <row r="55" spans="1:5" ht="30" customHeight="1" thickTop="1">
      <c r="A55" s="8" t="s">
        <v>12</v>
      </c>
      <c r="B55" s="91">
        <v>43</v>
      </c>
      <c r="C55" s="10" t="s">
        <v>10</v>
      </c>
      <c r="D55" s="92" t="s">
        <v>194</v>
      </c>
      <c r="E55" s="93" t="s">
        <v>158</v>
      </c>
    </row>
    <row r="56" spans="1:5" ht="30" customHeight="1">
      <c r="A56" s="13" t="s">
        <v>7</v>
      </c>
      <c r="B56" s="19" t="s">
        <v>163</v>
      </c>
      <c r="C56" s="21"/>
      <c r="D56" s="18" t="s">
        <v>161</v>
      </c>
      <c r="E56" s="94" t="s">
        <v>159</v>
      </c>
    </row>
    <row r="57" spans="1:5" ht="30" customHeight="1">
      <c r="A57" s="13" t="s">
        <v>15</v>
      </c>
      <c r="B57" s="19"/>
      <c r="C57" s="21"/>
      <c r="D57" s="18" t="s">
        <v>195</v>
      </c>
      <c r="E57" s="94" t="s">
        <v>160</v>
      </c>
    </row>
    <row r="58" spans="1:5" ht="30" customHeight="1" thickBot="1">
      <c r="A58" s="13" t="s">
        <v>8</v>
      </c>
      <c r="B58" s="17" t="s">
        <v>93</v>
      </c>
      <c r="C58" s="22"/>
      <c r="D58" s="23"/>
      <c r="E58" s="95"/>
    </row>
    <row r="59" spans="1:5" ht="30" customHeight="1">
      <c r="A59" s="13" t="s">
        <v>9</v>
      </c>
      <c r="B59" s="19" t="s">
        <v>171</v>
      </c>
      <c r="C59" s="4" t="s">
        <v>11</v>
      </c>
      <c r="D59" s="6">
        <v>2</v>
      </c>
      <c r="E59" s="120"/>
    </row>
    <row r="60" spans="1:5" ht="30" customHeight="1" thickBot="1">
      <c r="A60" s="14" t="s">
        <v>16</v>
      </c>
      <c r="B60" s="20" t="s">
        <v>17</v>
      </c>
      <c r="C60" s="5" t="s">
        <v>0</v>
      </c>
      <c r="D60" s="7">
        <f>IF(D59&lt;0,"valor del indicador fuera de rango",IF(D59&lt;=0.667,-0.446*(D59^2)+1,IF(D59&lt;=1.33,-0.606*D59+1.21,IF(D59&lt;=2,(0.337*D59^2)-(1.35*D59)+1.6,"valor del indicador fuera del rango"))))</f>
        <v>0.248</v>
      </c>
      <c r="E60" s="121"/>
    </row>
    <row r="61" spans="1:5" ht="30" customHeight="1">
      <c r="A61" s="15" t="s">
        <v>14</v>
      </c>
      <c r="B61" s="3" t="s">
        <v>0</v>
      </c>
      <c r="C61" s="146" t="s">
        <v>13</v>
      </c>
      <c r="D61" s="144"/>
      <c r="E61" s="145"/>
    </row>
    <row r="62" spans="1:5" ht="12.95" customHeight="1">
      <c r="A62" s="130">
        <v>0</v>
      </c>
      <c r="B62" s="24">
        <f aca="true" t="shared" si="5" ref="B62:B68">(-0.446*A62^2)+1</f>
        <v>1</v>
      </c>
      <c r="C62" s="47"/>
      <c r="D62" s="47"/>
      <c r="E62" s="48"/>
    </row>
    <row r="63" spans="1:5" ht="12.95" customHeight="1">
      <c r="A63" s="131">
        <v>0.1</v>
      </c>
      <c r="B63" s="24">
        <f t="shared" si="5"/>
        <v>0.99554</v>
      </c>
      <c r="C63" s="25"/>
      <c r="D63" s="47"/>
      <c r="E63" s="48"/>
    </row>
    <row r="64" spans="1:5" ht="12.95" customHeight="1">
      <c r="A64" s="131">
        <v>0.2</v>
      </c>
      <c r="B64" s="24">
        <f t="shared" si="5"/>
        <v>0.98216</v>
      </c>
      <c r="C64" s="25"/>
      <c r="D64" s="47"/>
      <c r="E64" s="48"/>
    </row>
    <row r="65" spans="1:5" ht="12.95" customHeight="1">
      <c r="A65" s="131">
        <v>0.3</v>
      </c>
      <c r="B65" s="24">
        <f t="shared" si="5"/>
        <v>0.95986</v>
      </c>
      <c r="C65" s="25"/>
      <c r="D65" s="47"/>
      <c r="E65" s="48"/>
    </row>
    <row r="66" spans="1:5" ht="12.95" customHeight="1">
      <c r="A66" s="131">
        <v>0.4</v>
      </c>
      <c r="B66" s="24">
        <f t="shared" si="5"/>
        <v>0.92864</v>
      </c>
      <c r="C66" s="25"/>
      <c r="D66" s="47"/>
      <c r="E66" s="48"/>
    </row>
    <row r="67" spans="1:5" ht="12.95" customHeight="1">
      <c r="A67" s="131">
        <v>0.5</v>
      </c>
      <c r="B67" s="24">
        <f t="shared" si="5"/>
        <v>0.8885</v>
      </c>
      <c r="C67" s="25"/>
      <c r="D67" s="47"/>
      <c r="E67" s="48"/>
    </row>
    <row r="68" spans="1:5" ht="12.95" customHeight="1">
      <c r="A68" s="131">
        <v>0.6</v>
      </c>
      <c r="B68" s="24">
        <f t="shared" si="5"/>
        <v>0.83944</v>
      </c>
      <c r="C68" s="25"/>
      <c r="D68" s="47"/>
      <c r="E68" s="48"/>
    </row>
    <row r="69" spans="1:5" ht="12.95" customHeight="1">
      <c r="A69" s="132">
        <v>0.7</v>
      </c>
      <c r="B69" s="26">
        <f aca="true" t="shared" si="6" ref="B69:B74">-0.606*A69+1.21</f>
        <v>0.7858</v>
      </c>
      <c r="C69" s="25"/>
      <c r="D69" s="47"/>
      <c r="E69" s="48"/>
    </row>
    <row r="70" spans="1:5" ht="12.95" customHeight="1">
      <c r="A70" s="132">
        <v>0.8</v>
      </c>
      <c r="B70" s="26">
        <f t="shared" si="6"/>
        <v>0.7252</v>
      </c>
      <c r="C70" s="25"/>
      <c r="D70" s="47"/>
      <c r="E70" s="48"/>
    </row>
    <row r="71" spans="1:5" ht="12.95" customHeight="1">
      <c r="A71" s="132">
        <v>0.9</v>
      </c>
      <c r="B71" s="26">
        <f t="shared" si="6"/>
        <v>0.6646</v>
      </c>
      <c r="C71" s="25"/>
      <c r="D71" s="47"/>
      <c r="E71" s="48"/>
    </row>
    <row r="72" spans="1:5" ht="12.95" customHeight="1">
      <c r="A72" s="132">
        <v>1</v>
      </c>
      <c r="B72" s="26">
        <f t="shared" si="6"/>
        <v>0.604</v>
      </c>
      <c r="C72" s="25"/>
      <c r="D72" s="47"/>
      <c r="E72" s="48"/>
    </row>
    <row r="73" spans="1:5" ht="12.95" customHeight="1">
      <c r="A73" s="132">
        <v>1.1</v>
      </c>
      <c r="B73" s="26">
        <f t="shared" si="6"/>
        <v>0.5433999999999999</v>
      </c>
      <c r="C73" s="25"/>
      <c r="D73" s="47"/>
      <c r="E73" s="48"/>
    </row>
    <row r="74" spans="1:5" ht="12.95" customHeight="1">
      <c r="A74" s="132">
        <v>1.2</v>
      </c>
      <c r="B74" s="26">
        <f t="shared" si="6"/>
        <v>0.4828</v>
      </c>
      <c r="C74" s="25"/>
      <c r="D74" s="47"/>
      <c r="E74" s="48"/>
    </row>
    <row r="75" spans="1:5" ht="12.95" customHeight="1">
      <c r="A75" s="133">
        <v>1.4</v>
      </c>
      <c r="B75" s="27">
        <f aca="true" t="shared" si="7" ref="B75:B80">(0.337*A75^2)-1.35*A75+1.6</f>
        <v>0.3705200000000002</v>
      </c>
      <c r="C75" s="25"/>
      <c r="D75" s="47"/>
      <c r="E75" s="48"/>
    </row>
    <row r="76" spans="1:5" ht="12.95" customHeight="1">
      <c r="A76" s="133">
        <v>1.5</v>
      </c>
      <c r="B76" s="27">
        <f t="shared" si="7"/>
        <v>0.3332499999999998</v>
      </c>
      <c r="C76" s="25"/>
      <c r="D76" s="47"/>
      <c r="E76" s="48"/>
    </row>
    <row r="77" spans="1:5" ht="12.95" customHeight="1">
      <c r="A77" s="133">
        <v>1.6</v>
      </c>
      <c r="B77" s="27">
        <f t="shared" si="7"/>
        <v>0.3027200000000003</v>
      </c>
      <c r="C77" s="25"/>
      <c r="D77" s="47"/>
      <c r="E77" s="48"/>
    </row>
    <row r="78" spans="1:5" ht="12.95" customHeight="1">
      <c r="A78" s="133">
        <v>1.8</v>
      </c>
      <c r="B78" s="27">
        <f t="shared" si="7"/>
        <v>0.2618800000000001</v>
      </c>
      <c r="C78" s="25"/>
      <c r="D78" s="47"/>
      <c r="E78" s="48"/>
    </row>
    <row r="79" spans="1:5" ht="12.95" customHeight="1">
      <c r="A79" s="133">
        <v>1.9</v>
      </c>
      <c r="B79" s="27">
        <f t="shared" si="7"/>
        <v>0.25157000000000007</v>
      </c>
      <c r="C79" s="25"/>
      <c r="D79" s="47"/>
      <c r="E79" s="48"/>
    </row>
    <row r="80" spans="1:5" ht="12.95" customHeight="1" thickBot="1">
      <c r="A80" s="134">
        <v>2</v>
      </c>
      <c r="B80" s="52">
        <f t="shared" si="7"/>
        <v>0.248</v>
      </c>
      <c r="C80" s="53"/>
      <c r="D80" s="49"/>
      <c r="E80" s="50"/>
    </row>
    <row r="81" ht="12.95" customHeight="1" thickTop="1"/>
    <row r="82" ht="12.95" customHeight="1" thickBot="1"/>
    <row r="83" spans="1:5" ht="30" customHeight="1" thickTop="1">
      <c r="A83" s="8" t="s">
        <v>12</v>
      </c>
      <c r="B83" s="91">
        <v>44</v>
      </c>
      <c r="C83" s="10" t="s">
        <v>10</v>
      </c>
      <c r="D83" s="92" t="s">
        <v>165</v>
      </c>
      <c r="E83" s="93" t="s">
        <v>23</v>
      </c>
    </row>
    <row r="84" spans="1:5" ht="30" customHeight="1">
      <c r="A84" s="13" t="s">
        <v>7</v>
      </c>
      <c r="B84" s="19" t="s">
        <v>164</v>
      </c>
      <c r="C84" s="21"/>
      <c r="D84" s="18"/>
      <c r="E84" s="94"/>
    </row>
    <row r="85" spans="1:5" ht="30" customHeight="1">
      <c r="A85" s="13" t="s">
        <v>15</v>
      </c>
      <c r="B85" s="19"/>
      <c r="C85" s="21"/>
      <c r="D85" s="18"/>
      <c r="E85" s="94"/>
    </row>
    <row r="86" spans="1:5" ht="30" customHeight="1" thickBot="1">
      <c r="A86" s="13" t="s">
        <v>8</v>
      </c>
      <c r="B86" s="19" t="s">
        <v>47</v>
      </c>
      <c r="C86" s="22"/>
      <c r="D86" s="23"/>
      <c r="E86" s="95"/>
    </row>
    <row r="87" spans="1:5" ht="30" customHeight="1">
      <c r="A87" s="13" t="s">
        <v>9</v>
      </c>
      <c r="B87" s="19" t="s">
        <v>86</v>
      </c>
      <c r="C87" s="4" t="s">
        <v>11</v>
      </c>
      <c r="D87" s="6">
        <v>50</v>
      </c>
      <c r="E87" s="120"/>
    </row>
    <row r="88" spans="1:5" ht="30" customHeight="1" thickBot="1">
      <c r="A88" s="14" t="s">
        <v>16</v>
      </c>
      <c r="B88" s="20" t="s">
        <v>17</v>
      </c>
      <c r="C88" s="5" t="s">
        <v>0</v>
      </c>
      <c r="D88" s="7">
        <f>IF(D87&lt;0,"valor del indicador fuera de rango",IF(D87&lt;=100,-0.01*D87+1,IF(D87&gt;=100,"valor del indicador fuera de rango")))</f>
        <v>0.5</v>
      </c>
      <c r="E88" s="121"/>
    </row>
    <row r="89" spans="1:5" ht="30" customHeight="1">
      <c r="A89" s="15" t="s">
        <v>14</v>
      </c>
      <c r="B89" s="3" t="s">
        <v>0</v>
      </c>
      <c r="C89" s="146" t="s">
        <v>13</v>
      </c>
      <c r="D89" s="144"/>
      <c r="E89" s="145"/>
    </row>
    <row r="90" spans="1:5" ht="12.95" customHeight="1">
      <c r="A90" s="28">
        <v>0</v>
      </c>
      <c r="B90" s="24">
        <f aca="true" t="shared" si="8" ref="B90:B107">-0.01*A90+1</f>
        <v>1</v>
      </c>
      <c r="C90" s="47"/>
      <c r="D90" s="47"/>
      <c r="E90" s="48"/>
    </row>
    <row r="91" spans="1:5" ht="12.95" customHeight="1">
      <c r="A91" s="29">
        <v>5</v>
      </c>
      <c r="B91" s="24">
        <f t="shared" si="8"/>
        <v>0.95</v>
      </c>
      <c r="C91" s="25"/>
      <c r="D91" s="47"/>
      <c r="E91" s="48"/>
    </row>
    <row r="92" spans="1:5" ht="12.95" customHeight="1">
      <c r="A92" s="29">
        <v>10</v>
      </c>
      <c r="B92" s="24">
        <f t="shared" si="8"/>
        <v>0.9</v>
      </c>
      <c r="C92" s="25"/>
      <c r="D92" s="47"/>
      <c r="E92" s="48"/>
    </row>
    <row r="93" spans="1:5" ht="12.95" customHeight="1">
      <c r="A93" s="29">
        <v>15</v>
      </c>
      <c r="B93" s="24">
        <f t="shared" si="8"/>
        <v>0.85</v>
      </c>
      <c r="C93" s="25"/>
      <c r="D93" s="47"/>
      <c r="E93" s="48"/>
    </row>
    <row r="94" spans="1:5" ht="12.95" customHeight="1">
      <c r="A94" s="29">
        <v>20</v>
      </c>
      <c r="B94" s="24">
        <f t="shared" si="8"/>
        <v>0.8</v>
      </c>
      <c r="C94" s="25"/>
      <c r="D94" s="47"/>
      <c r="E94" s="48"/>
    </row>
    <row r="95" spans="1:5" ht="12.95" customHeight="1">
      <c r="A95" s="29">
        <v>25</v>
      </c>
      <c r="B95" s="24">
        <f t="shared" si="8"/>
        <v>0.75</v>
      </c>
      <c r="C95" s="25"/>
      <c r="D95" s="47"/>
      <c r="E95" s="48"/>
    </row>
    <row r="96" spans="1:5" ht="12.95" customHeight="1">
      <c r="A96" s="29">
        <v>30</v>
      </c>
      <c r="B96" s="24">
        <f t="shared" si="8"/>
        <v>0.7</v>
      </c>
      <c r="C96" s="25"/>
      <c r="D96" s="47"/>
      <c r="E96" s="48"/>
    </row>
    <row r="97" spans="1:5" ht="12.95" customHeight="1">
      <c r="A97" s="29">
        <v>35</v>
      </c>
      <c r="B97" s="24">
        <f t="shared" si="8"/>
        <v>0.6499999999999999</v>
      </c>
      <c r="C97" s="25"/>
      <c r="D97" s="47"/>
      <c r="E97" s="48"/>
    </row>
    <row r="98" spans="1:5" ht="12.95" customHeight="1">
      <c r="A98" s="29">
        <v>40</v>
      </c>
      <c r="B98" s="24">
        <f t="shared" si="8"/>
        <v>0.6</v>
      </c>
      <c r="C98" s="25"/>
      <c r="D98" s="47"/>
      <c r="E98" s="48"/>
    </row>
    <row r="99" spans="1:5" ht="12.95" customHeight="1">
      <c r="A99" s="29">
        <v>45</v>
      </c>
      <c r="B99" s="24">
        <f t="shared" si="8"/>
        <v>0.55</v>
      </c>
      <c r="C99" s="25"/>
      <c r="D99" s="47"/>
      <c r="E99" s="48"/>
    </row>
    <row r="100" spans="1:5" ht="12.95" customHeight="1">
      <c r="A100" s="29">
        <v>50</v>
      </c>
      <c r="B100" s="24">
        <f t="shared" si="8"/>
        <v>0.5</v>
      </c>
      <c r="C100" s="25"/>
      <c r="D100" s="47"/>
      <c r="E100" s="48"/>
    </row>
    <row r="101" spans="1:5" ht="12.95" customHeight="1">
      <c r="A101" s="29">
        <v>55</v>
      </c>
      <c r="B101" s="24">
        <f t="shared" si="8"/>
        <v>0.44999999999999996</v>
      </c>
      <c r="C101" s="25"/>
      <c r="D101" s="47"/>
      <c r="E101" s="48"/>
    </row>
    <row r="102" spans="1:5" ht="12.95" customHeight="1">
      <c r="A102" s="29">
        <v>60</v>
      </c>
      <c r="B102" s="24">
        <f t="shared" si="8"/>
        <v>0.4</v>
      </c>
      <c r="C102" s="25"/>
      <c r="D102" s="47"/>
      <c r="E102" s="48"/>
    </row>
    <row r="103" spans="1:5" ht="12.95" customHeight="1">
      <c r="A103" s="29">
        <v>65</v>
      </c>
      <c r="B103" s="24">
        <f t="shared" si="8"/>
        <v>0.35</v>
      </c>
      <c r="C103" s="25"/>
      <c r="D103" s="47"/>
      <c r="E103" s="48"/>
    </row>
    <row r="104" spans="1:5" ht="12.95" customHeight="1">
      <c r="A104" s="29">
        <v>70</v>
      </c>
      <c r="B104" s="24">
        <f t="shared" si="8"/>
        <v>0.29999999999999993</v>
      </c>
      <c r="C104" s="25"/>
      <c r="D104" s="47"/>
      <c r="E104" s="48"/>
    </row>
    <row r="105" spans="1:5" ht="12.95" customHeight="1">
      <c r="A105" s="29">
        <v>80</v>
      </c>
      <c r="B105" s="24">
        <f t="shared" si="8"/>
        <v>0.19999999999999996</v>
      </c>
      <c r="C105" s="25"/>
      <c r="D105" s="47"/>
      <c r="E105" s="48"/>
    </row>
    <row r="106" spans="1:5" ht="12.95" customHeight="1">
      <c r="A106" s="29">
        <v>90</v>
      </c>
      <c r="B106" s="24">
        <f t="shared" si="8"/>
        <v>0.09999999999999998</v>
      </c>
      <c r="C106" s="25"/>
      <c r="D106" s="47"/>
      <c r="E106" s="48"/>
    </row>
    <row r="107" spans="1:5" ht="12.95" customHeight="1" thickBot="1">
      <c r="A107" s="56">
        <v>100</v>
      </c>
      <c r="B107" s="59">
        <f t="shared" si="8"/>
        <v>0</v>
      </c>
      <c r="C107" s="53"/>
      <c r="D107" s="49"/>
      <c r="E107" s="50"/>
    </row>
    <row r="108" ht="12.95" customHeight="1" thickTop="1"/>
  </sheetData>
  <mergeCells count="4">
    <mergeCell ref="C89:E89"/>
    <mergeCell ref="C7:E7"/>
    <mergeCell ref="C33:E33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116"/>
  <sheetViews>
    <sheetView workbookViewId="0" topLeftCell="A106">
      <selection activeCell="A61" sqref="A61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6" width="22.8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1</v>
      </c>
      <c r="C1" s="68" t="s">
        <v>10</v>
      </c>
      <c r="D1" s="11" t="s">
        <v>29</v>
      </c>
      <c r="E1" s="12" t="s">
        <v>23</v>
      </c>
    </row>
    <row r="2" spans="1:5" ht="30" customHeight="1">
      <c r="A2" s="13" t="s">
        <v>7</v>
      </c>
      <c r="B2" s="1" t="s">
        <v>28</v>
      </c>
      <c r="C2" s="69"/>
      <c r="D2" s="2"/>
      <c r="E2" s="61"/>
    </row>
    <row r="3" spans="1:5" ht="30" customHeight="1">
      <c r="A3" s="13" t="s">
        <v>15</v>
      </c>
      <c r="B3" s="1"/>
      <c r="C3" s="69"/>
      <c r="D3" s="2"/>
      <c r="E3" s="61"/>
    </row>
    <row r="4" spans="1:5" ht="30" customHeight="1" thickBot="1">
      <c r="A4" s="13" t="s">
        <v>8</v>
      </c>
      <c r="B4" s="1" t="s">
        <v>21</v>
      </c>
      <c r="C4" s="70"/>
      <c r="D4" s="63"/>
      <c r="E4" s="64"/>
    </row>
    <row r="5" spans="1:5" ht="30" customHeight="1">
      <c r="A5" s="13" t="s">
        <v>9</v>
      </c>
      <c r="B5" s="1" t="s">
        <v>88</v>
      </c>
      <c r="C5" s="6" t="s">
        <v>11</v>
      </c>
      <c r="D5" s="6">
        <v>20</v>
      </c>
      <c r="E5" s="65"/>
    </row>
    <row r="6" spans="1:5" ht="30" customHeight="1" thickBot="1">
      <c r="A6" s="14" t="s">
        <v>16</v>
      </c>
      <c r="B6" s="16" t="s">
        <v>172</v>
      </c>
      <c r="C6" s="71" t="s">
        <v>0</v>
      </c>
      <c r="D6" s="7">
        <f>IF(D5&lt;0,"valor del indicador fuera de rango",IF(D5&lt;=100,(-0.000075*(D5^2))+(0.0175*D5),"valor del indicador fuera rango"))</f>
        <v>0.32000000000000006</v>
      </c>
      <c r="E6" s="66"/>
    </row>
    <row r="7" spans="1:5" ht="30" customHeight="1">
      <c r="A7" s="15" t="s">
        <v>14</v>
      </c>
      <c r="B7" s="3" t="s">
        <v>0</v>
      </c>
      <c r="C7" s="144" t="s">
        <v>13</v>
      </c>
      <c r="D7" s="144"/>
      <c r="E7" s="145"/>
    </row>
    <row r="8" spans="1:5" ht="12.95" customHeight="1">
      <c r="A8" s="28">
        <v>0</v>
      </c>
      <c r="B8" s="72">
        <f>-0.000075*(A8^2)+0.0175*A8</f>
        <v>0</v>
      </c>
      <c r="C8" s="47"/>
      <c r="D8" s="47"/>
      <c r="E8" s="48"/>
    </row>
    <row r="9" spans="1:5" ht="12.95" customHeight="1">
      <c r="A9" s="29">
        <f aca="true" t="shared" si="0" ref="A9:A28">A8+5</f>
        <v>5</v>
      </c>
      <c r="B9" s="72">
        <f aca="true" t="shared" si="1" ref="B9:B28">-0.000075*(A9^2)+0.0175*A9</f>
        <v>0.085625</v>
      </c>
      <c r="C9" s="25"/>
      <c r="D9" s="47"/>
      <c r="E9" s="48"/>
    </row>
    <row r="10" spans="1:5" ht="12.95" customHeight="1">
      <c r="A10" s="29">
        <f t="shared" si="0"/>
        <v>10</v>
      </c>
      <c r="B10" s="72">
        <f t="shared" si="1"/>
        <v>0.1675</v>
      </c>
      <c r="C10" s="25"/>
      <c r="D10" s="47"/>
      <c r="E10" s="48"/>
    </row>
    <row r="11" spans="1:5" ht="12.95" customHeight="1">
      <c r="A11" s="29">
        <f t="shared" si="0"/>
        <v>15</v>
      </c>
      <c r="B11" s="72">
        <f t="shared" si="1"/>
        <v>0.245625</v>
      </c>
      <c r="C11" s="25"/>
      <c r="D11" s="47"/>
      <c r="E11" s="48"/>
    </row>
    <row r="12" spans="1:5" ht="12.95" customHeight="1">
      <c r="A12" s="29">
        <f t="shared" si="0"/>
        <v>20</v>
      </c>
      <c r="B12" s="72">
        <f t="shared" si="1"/>
        <v>0.32000000000000006</v>
      </c>
      <c r="C12" s="25"/>
      <c r="D12" s="47"/>
      <c r="E12" s="48"/>
    </row>
    <row r="13" spans="1:5" ht="12.95" customHeight="1">
      <c r="A13" s="29">
        <f t="shared" si="0"/>
        <v>25</v>
      </c>
      <c r="B13" s="72">
        <f t="shared" si="1"/>
        <v>0.39062500000000006</v>
      </c>
      <c r="C13" s="25"/>
      <c r="D13" s="47"/>
      <c r="E13" s="48"/>
    </row>
    <row r="14" spans="1:5" ht="12.95" customHeight="1">
      <c r="A14" s="29">
        <f t="shared" si="0"/>
        <v>30</v>
      </c>
      <c r="B14" s="72">
        <f t="shared" si="1"/>
        <v>0.4575</v>
      </c>
      <c r="C14" s="25"/>
      <c r="D14" s="47"/>
      <c r="E14" s="48"/>
    </row>
    <row r="15" spans="1:5" ht="12.95" customHeight="1">
      <c r="A15" s="29">
        <f t="shared" si="0"/>
        <v>35</v>
      </c>
      <c r="B15" s="72">
        <f t="shared" si="1"/>
        <v>0.520625</v>
      </c>
      <c r="C15" s="25"/>
      <c r="D15" s="47"/>
      <c r="E15" s="48"/>
    </row>
    <row r="16" spans="1:5" ht="12.95" customHeight="1">
      <c r="A16" s="29">
        <f t="shared" si="0"/>
        <v>40</v>
      </c>
      <c r="B16" s="72">
        <f t="shared" si="1"/>
        <v>0.5800000000000001</v>
      </c>
      <c r="C16" s="25"/>
      <c r="D16" s="47"/>
      <c r="E16" s="48"/>
    </row>
    <row r="17" spans="1:5" ht="12.95" customHeight="1">
      <c r="A17" s="29">
        <f t="shared" si="0"/>
        <v>45</v>
      </c>
      <c r="B17" s="72">
        <f t="shared" si="1"/>
        <v>0.6356250000000001</v>
      </c>
      <c r="C17" s="25"/>
      <c r="D17" s="47"/>
      <c r="E17" s="48"/>
    </row>
    <row r="18" spans="1:5" ht="12.95" customHeight="1">
      <c r="A18" s="29">
        <f t="shared" si="0"/>
        <v>50</v>
      </c>
      <c r="B18" s="72">
        <f t="shared" si="1"/>
        <v>0.6875000000000001</v>
      </c>
      <c r="C18" s="25"/>
      <c r="D18" s="47"/>
      <c r="E18" s="48"/>
    </row>
    <row r="19" spans="1:5" ht="12.95" customHeight="1">
      <c r="A19" s="29">
        <f t="shared" si="0"/>
        <v>55</v>
      </c>
      <c r="B19" s="72">
        <f t="shared" si="1"/>
        <v>0.7356250000000002</v>
      </c>
      <c r="C19" s="25"/>
      <c r="D19" s="47"/>
      <c r="E19" s="48"/>
    </row>
    <row r="20" spans="1:5" ht="12.95" customHeight="1">
      <c r="A20" s="29">
        <f t="shared" si="0"/>
        <v>60</v>
      </c>
      <c r="B20" s="72">
        <f t="shared" si="1"/>
        <v>0.78</v>
      </c>
      <c r="C20" s="25"/>
      <c r="D20" s="47"/>
      <c r="E20" s="48"/>
    </row>
    <row r="21" spans="1:5" ht="12.95" customHeight="1">
      <c r="A21" s="29">
        <f t="shared" si="0"/>
        <v>65</v>
      </c>
      <c r="B21" s="72">
        <f t="shared" si="1"/>
        <v>0.8206250000000002</v>
      </c>
      <c r="C21" s="25"/>
      <c r="D21" s="47"/>
      <c r="E21" s="48"/>
    </row>
    <row r="22" spans="1:5" ht="12.95" customHeight="1">
      <c r="A22" s="29">
        <f t="shared" si="0"/>
        <v>70</v>
      </c>
      <c r="B22" s="72">
        <f t="shared" si="1"/>
        <v>0.8575000000000002</v>
      </c>
      <c r="C22" s="25"/>
      <c r="D22" s="47"/>
      <c r="E22" s="48"/>
    </row>
    <row r="23" spans="1:5" ht="12.95" customHeight="1">
      <c r="A23" s="29">
        <f t="shared" si="0"/>
        <v>75</v>
      </c>
      <c r="B23" s="72">
        <f t="shared" si="1"/>
        <v>0.8906250000000002</v>
      </c>
      <c r="C23" s="25"/>
      <c r="D23" s="47"/>
      <c r="E23" s="48"/>
    </row>
    <row r="24" spans="1:5" ht="12.95" customHeight="1">
      <c r="A24" s="29">
        <f t="shared" si="0"/>
        <v>80</v>
      </c>
      <c r="B24" s="72">
        <f t="shared" si="1"/>
        <v>0.9200000000000002</v>
      </c>
      <c r="C24" s="25"/>
      <c r="D24" s="47"/>
      <c r="E24" s="48"/>
    </row>
    <row r="25" spans="1:5" ht="12.95" customHeight="1">
      <c r="A25" s="29">
        <f t="shared" si="0"/>
        <v>85</v>
      </c>
      <c r="B25" s="72">
        <f t="shared" si="1"/>
        <v>0.945625</v>
      </c>
      <c r="C25" s="25"/>
      <c r="D25" s="47"/>
      <c r="E25" s="48"/>
    </row>
    <row r="26" spans="1:5" ht="12.95" customHeight="1">
      <c r="A26" s="29">
        <f t="shared" si="0"/>
        <v>90</v>
      </c>
      <c r="B26" s="72">
        <f t="shared" si="1"/>
        <v>0.9675000000000002</v>
      </c>
      <c r="C26" s="25"/>
      <c r="D26" s="47"/>
      <c r="E26" s="48"/>
    </row>
    <row r="27" spans="1:5" ht="12.95" customHeight="1">
      <c r="A27" s="29">
        <f t="shared" si="0"/>
        <v>95</v>
      </c>
      <c r="B27" s="72">
        <f t="shared" si="1"/>
        <v>0.9856250000000002</v>
      </c>
      <c r="C27" s="25"/>
      <c r="D27" s="47"/>
      <c r="E27" s="48"/>
    </row>
    <row r="28" spans="1:5" ht="12.95" customHeight="1" thickBot="1">
      <c r="A28" s="79">
        <f t="shared" si="0"/>
        <v>100</v>
      </c>
      <c r="B28" s="72">
        <f t="shared" si="1"/>
        <v>1.0000000000000004</v>
      </c>
      <c r="C28" s="75"/>
      <c r="D28" s="76"/>
      <c r="E28" s="77"/>
    </row>
    <row r="29" spans="1:5" ht="12.95" customHeight="1">
      <c r="A29" s="80"/>
      <c r="B29" s="78"/>
      <c r="C29" s="75"/>
      <c r="D29" s="76"/>
      <c r="E29" s="77"/>
    </row>
    <row r="30" spans="1:5" ht="12.95" customHeight="1">
      <c r="A30" s="80"/>
      <c r="B30" s="78"/>
      <c r="C30" s="75"/>
      <c r="D30" s="76"/>
      <c r="E30" s="77"/>
    </row>
    <row r="31" spans="1:5" ht="12.95" customHeight="1">
      <c r="A31" s="80"/>
      <c r="B31" s="78"/>
      <c r="C31" s="75"/>
      <c r="D31" s="76"/>
      <c r="E31" s="77"/>
    </row>
    <row r="32" spans="1:5" ht="12.95" customHeight="1">
      <c r="A32" s="80"/>
      <c r="B32" s="78"/>
      <c r="C32" s="75"/>
      <c r="D32" s="76"/>
      <c r="E32" s="77"/>
    </row>
    <row r="33" spans="1:5" ht="12.95" customHeight="1">
      <c r="A33" s="81"/>
      <c r="B33" s="76"/>
      <c r="C33" s="76"/>
      <c r="D33" s="76"/>
      <c r="E33" s="77"/>
    </row>
    <row r="34" spans="1:6" s="74" customFormat="1" ht="12.95" customHeight="1">
      <c r="A34" s="81"/>
      <c r="B34" s="75"/>
      <c r="C34" s="75"/>
      <c r="D34" s="75"/>
      <c r="E34" s="82"/>
      <c r="F34" s="57"/>
    </row>
    <row r="35" spans="1:6" s="74" customFormat="1" ht="12.95" customHeight="1">
      <c r="A35" s="81"/>
      <c r="B35" s="75"/>
      <c r="C35" s="75"/>
      <c r="D35" s="75"/>
      <c r="E35" s="82"/>
      <c r="F35" s="57"/>
    </row>
    <row r="36" spans="1:6" s="74" customFormat="1" ht="12.95" customHeight="1">
      <c r="A36" s="81"/>
      <c r="B36" s="75"/>
      <c r="C36" s="75"/>
      <c r="D36" s="75"/>
      <c r="E36" s="82"/>
      <c r="F36" s="57"/>
    </row>
    <row r="37" spans="1:6" s="74" customFormat="1" ht="12.95" customHeight="1">
      <c r="A37" s="80"/>
      <c r="B37" s="75"/>
      <c r="C37" s="75"/>
      <c r="D37" s="75"/>
      <c r="E37" s="82"/>
      <c r="F37" s="57"/>
    </row>
    <row r="38" spans="1:6" s="74" customFormat="1" ht="12.95" customHeight="1">
      <c r="A38" s="80"/>
      <c r="B38" s="75"/>
      <c r="C38" s="75"/>
      <c r="D38" s="75"/>
      <c r="E38" s="82"/>
      <c r="F38" s="57"/>
    </row>
    <row r="39" spans="1:6" s="74" customFormat="1" ht="12.95" customHeight="1">
      <c r="A39" s="80"/>
      <c r="B39" s="75"/>
      <c r="C39" s="75"/>
      <c r="D39" s="75"/>
      <c r="E39" s="82"/>
      <c r="F39" s="57"/>
    </row>
    <row r="40" spans="1:6" s="74" customFormat="1" ht="12.95" customHeight="1">
      <c r="A40" s="80"/>
      <c r="B40" s="75"/>
      <c r="C40" s="75"/>
      <c r="D40" s="75"/>
      <c r="E40" s="82"/>
      <c r="F40" s="57"/>
    </row>
    <row r="41" spans="1:6" s="74" customFormat="1" ht="12.95" customHeight="1" thickBot="1">
      <c r="A41" s="110"/>
      <c r="B41" s="111"/>
      <c r="C41" s="111"/>
      <c r="D41" s="111"/>
      <c r="E41" s="112"/>
      <c r="F41" s="57"/>
    </row>
    <row r="42" spans="1:6" s="74" customFormat="1" ht="12.95" customHeight="1" thickTop="1">
      <c r="A42" s="57"/>
      <c r="B42" s="57"/>
      <c r="C42" s="57"/>
      <c r="D42" s="57"/>
      <c r="E42" s="57"/>
      <c r="F42" s="57"/>
    </row>
    <row r="43" spans="1:6" s="74" customFormat="1" ht="12.95" customHeight="1" thickBot="1">
      <c r="A43" s="57"/>
      <c r="B43" s="57"/>
      <c r="C43" s="57"/>
      <c r="D43" s="57"/>
      <c r="E43" s="57"/>
      <c r="F43" s="57"/>
    </row>
    <row r="44" spans="1:5" ht="30" customHeight="1" thickTop="1">
      <c r="A44" s="8" t="s">
        <v>12</v>
      </c>
      <c r="B44" s="9">
        <v>2</v>
      </c>
      <c r="C44" s="10" t="s">
        <v>10</v>
      </c>
      <c r="D44" s="11" t="s">
        <v>31</v>
      </c>
      <c r="E44" s="12" t="s">
        <v>32</v>
      </c>
    </row>
    <row r="45" spans="1:5" ht="30" customHeight="1">
      <c r="A45" s="13" t="s">
        <v>7</v>
      </c>
      <c r="B45" s="1" t="s">
        <v>30</v>
      </c>
      <c r="C45" s="60"/>
      <c r="D45" s="2" t="s">
        <v>34</v>
      </c>
      <c r="E45" s="61" t="s">
        <v>33</v>
      </c>
    </row>
    <row r="46" spans="1:5" ht="30" customHeight="1">
      <c r="A46" s="13" t="s">
        <v>15</v>
      </c>
      <c r="B46" s="1"/>
      <c r="C46" s="60"/>
      <c r="D46" s="2"/>
      <c r="E46" s="61"/>
    </row>
    <row r="47" spans="1:5" ht="30" customHeight="1" thickBot="1">
      <c r="A47" s="13" t="s">
        <v>8</v>
      </c>
      <c r="B47" s="1" t="s">
        <v>21</v>
      </c>
      <c r="C47" s="62"/>
      <c r="D47" s="63"/>
      <c r="E47" s="64"/>
    </row>
    <row r="48" spans="1:5" ht="30" customHeight="1">
      <c r="A48" s="13" t="s">
        <v>9</v>
      </c>
      <c r="B48" s="1" t="s">
        <v>86</v>
      </c>
      <c r="C48" s="4" t="s">
        <v>11</v>
      </c>
      <c r="D48" s="6">
        <v>55</v>
      </c>
      <c r="E48" s="65"/>
    </row>
    <row r="49" spans="1:5" ht="30" customHeight="1" thickBot="1">
      <c r="A49" s="14" t="s">
        <v>16</v>
      </c>
      <c r="B49" s="16" t="s">
        <v>172</v>
      </c>
      <c r="C49" s="5" t="s">
        <v>0</v>
      </c>
      <c r="D49" s="7">
        <f>IF(D48&lt;0,"valor del indicador fuera de rango",IF(D48&lt;=50,-0.0000966*(D48^2)-(0.00517*D48)+1,IF(D48&lt;=100,(0.0000912*(D48^2))-(0.0237*D48)+1.46,"valor del indicador fuera rango")))</f>
        <v>0.43238</v>
      </c>
      <c r="E49" s="66"/>
    </row>
    <row r="50" spans="1:5" ht="30" customHeight="1">
      <c r="A50" s="15" t="s">
        <v>14</v>
      </c>
      <c r="B50" s="3" t="s">
        <v>0</v>
      </c>
      <c r="C50" s="146" t="s">
        <v>13</v>
      </c>
      <c r="D50" s="144"/>
      <c r="E50" s="145"/>
    </row>
    <row r="51" spans="1:5" ht="12.95" customHeight="1">
      <c r="A51" s="28">
        <v>0</v>
      </c>
      <c r="B51" s="72">
        <f>-0.0000966*(A51^2)-(0.00517*A51)+1</f>
        <v>1</v>
      </c>
      <c r="C51" s="47"/>
      <c r="D51" s="47"/>
      <c r="E51" s="48"/>
    </row>
    <row r="52" spans="1:5" ht="12.95" customHeight="1">
      <c r="A52" s="29">
        <f>A51+5</f>
        <v>5</v>
      </c>
      <c r="B52" s="72">
        <f aca="true" t="shared" si="2" ref="B52:B61">-0.0000966*(A52^2)-(0.00517*A52)+1</f>
        <v>0.971735</v>
      </c>
      <c r="C52" s="25"/>
      <c r="D52" s="47"/>
      <c r="E52" s="48"/>
    </row>
    <row r="53" spans="1:5" ht="12.95" customHeight="1">
      <c r="A53" s="29">
        <f aca="true" t="shared" si="3" ref="A53:A71">A52+5</f>
        <v>10</v>
      </c>
      <c r="B53" s="72">
        <f t="shared" si="2"/>
        <v>0.93864</v>
      </c>
      <c r="C53" s="25"/>
      <c r="D53" s="47"/>
      <c r="E53" s="48"/>
    </row>
    <row r="54" spans="1:5" ht="12.95" customHeight="1">
      <c r="A54" s="29">
        <f t="shared" si="3"/>
        <v>15</v>
      </c>
      <c r="B54" s="72">
        <f t="shared" si="2"/>
        <v>0.9007149999999999</v>
      </c>
      <c r="C54" s="25"/>
      <c r="D54" s="47"/>
      <c r="E54" s="48"/>
    </row>
    <row r="55" spans="1:5" ht="12.95" customHeight="1">
      <c r="A55" s="29">
        <f t="shared" si="3"/>
        <v>20</v>
      </c>
      <c r="B55" s="72">
        <f t="shared" si="2"/>
        <v>0.8579600000000001</v>
      </c>
      <c r="C55" s="25"/>
      <c r="D55" s="47"/>
      <c r="E55" s="48"/>
    </row>
    <row r="56" spans="1:5" ht="12.95" customHeight="1">
      <c r="A56" s="29">
        <f t="shared" si="3"/>
        <v>25</v>
      </c>
      <c r="B56" s="72">
        <f t="shared" si="2"/>
        <v>0.810375</v>
      </c>
      <c r="C56" s="25"/>
      <c r="D56" s="47"/>
      <c r="E56" s="48"/>
    </row>
    <row r="57" spans="1:5" ht="12.95" customHeight="1">
      <c r="A57" s="29">
        <f t="shared" si="3"/>
        <v>30</v>
      </c>
      <c r="B57" s="72">
        <f t="shared" si="2"/>
        <v>0.75796</v>
      </c>
      <c r="C57" s="25"/>
      <c r="D57" s="47"/>
      <c r="E57" s="48"/>
    </row>
    <row r="58" spans="1:5" ht="12.95" customHeight="1">
      <c r="A58" s="29">
        <f t="shared" si="3"/>
        <v>35</v>
      </c>
      <c r="B58" s="72">
        <f t="shared" si="2"/>
        <v>0.700715</v>
      </c>
      <c r="C58" s="25"/>
      <c r="D58" s="47"/>
      <c r="E58" s="48"/>
    </row>
    <row r="59" spans="1:5" ht="12.95" customHeight="1">
      <c r="A59" s="29">
        <f t="shared" si="3"/>
        <v>40</v>
      </c>
      <c r="B59" s="72">
        <f t="shared" si="2"/>
        <v>0.63864</v>
      </c>
      <c r="C59" s="25"/>
      <c r="D59" s="47"/>
      <c r="E59" s="48"/>
    </row>
    <row r="60" spans="1:5" ht="12.95" customHeight="1">
      <c r="A60" s="29">
        <f t="shared" si="3"/>
        <v>45</v>
      </c>
      <c r="B60" s="72">
        <f t="shared" si="2"/>
        <v>0.571735</v>
      </c>
      <c r="C60" s="25"/>
      <c r="D60" s="47"/>
      <c r="E60" s="48"/>
    </row>
    <row r="61" spans="1:5" ht="12.95" customHeight="1">
      <c r="A61" s="29">
        <f t="shared" si="3"/>
        <v>50</v>
      </c>
      <c r="B61" s="72">
        <f t="shared" si="2"/>
        <v>0.5</v>
      </c>
      <c r="C61" s="25"/>
      <c r="D61" s="47"/>
      <c r="E61" s="48"/>
    </row>
    <row r="62" spans="1:5" ht="12.95" customHeight="1">
      <c r="A62" s="30">
        <f t="shared" si="3"/>
        <v>55</v>
      </c>
      <c r="B62" s="83">
        <f>0.0000912*(A62^2)-0.0237*A62+1.46</f>
        <v>0.43238</v>
      </c>
      <c r="C62" s="25"/>
      <c r="D62" s="47"/>
      <c r="E62" s="48"/>
    </row>
    <row r="63" spans="1:5" ht="12.95" customHeight="1">
      <c r="A63" s="30">
        <f t="shared" si="3"/>
        <v>60</v>
      </c>
      <c r="B63" s="83">
        <f aca="true" t="shared" si="4" ref="B63:B71">0.0000912*(A63^2)-0.0237*A63+1.46</f>
        <v>0.36632</v>
      </c>
      <c r="C63" s="25"/>
      <c r="D63" s="47"/>
      <c r="E63" s="48"/>
    </row>
    <row r="64" spans="1:5" ht="12.95" customHeight="1">
      <c r="A64" s="30">
        <f t="shared" si="3"/>
        <v>65</v>
      </c>
      <c r="B64" s="83">
        <f t="shared" si="4"/>
        <v>0.30481999999999987</v>
      </c>
      <c r="C64" s="25"/>
      <c r="D64" s="47"/>
      <c r="E64" s="48"/>
    </row>
    <row r="65" spans="1:5" ht="12.95" customHeight="1">
      <c r="A65" s="30">
        <f t="shared" si="3"/>
        <v>70</v>
      </c>
      <c r="B65" s="83">
        <f t="shared" si="4"/>
        <v>0.2478800000000001</v>
      </c>
      <c r="C65" s="25"/>
      <c r="D65" s="47"/>
      <c r="E65" s="48"/>
    </row>
    <row r="66" spans="1:5" ht="12.95" customHeight="1">
      <c r="A66" s="30">
        <f t="shared" si="3"/>
        <v>75</v>
      </c>
      <c r="B66" s="83">
        <f t="shared" si="4"/>
        <v>0.1955</v>
      </c>
      <c r="C66" s="25"/>
      <c r="D66" s="47"/>
      <c r="E66" s="48"/>
    </row>
    <row r="67" spans="1:5" ht="12.95" customHeight="1">
      <c r="A67" s="30">
        <f t="shared" si="3"/>
        <v>80</v>
      </c>
      <c r="B67" s="83">
        <f t="shared" si="4"/>
        <v>0.14768000000000003</v>
      </c>
      <c r="C67" s="25"/>
      <c r="D67" s="47"/>
      <c r="E67" s="48"/>
    </row>
    <row r="68" spans="1:5" ht="12.95" customHeight="1">
      <c r="A68" s="30">
        <f t="shared" si="3"/>
        <v>85</v>
      </c>
      <c r="B68" s="83">
        <f t="shared" si="4"/>
        <v>0.10441999999999996</v>
      </c>
      <c r="C68" s="25"/>
      <c r="D68" s="47"/>
      <c r="E68" s="48"/>
    </row>
    <row r="69" spans="1:5" ht="12.95" customHeight="1">
      <c r="A69" s="30">
        <f t="shared" si="3"/>
        <v>90</v>
      </c>
      <c r="B69" s="83">
        <f t="shared" si="4"/>
        <v>0.06571999999999978</v>
      </c>
      <c r="C69" s="25"/>
      <c r="D69" s="47"/>
      <c r="E69" s="48"/>
    </row>
    <row r="70" spans="1:5" ht="12.95" customHeight="1">
      <c r="A70" s="30">
        <f t="shared" si="3"/>
        <v>95</v>
      </c>
      <c r="B70" s="83">
        <f t="shared" si="4"/>
        <v>0.03157999999999994</v>
      </c>
      <c r="C70" s="25"/>
      <c r="D70" s="47"/>
      <c r="E70" s="48"/>
    </row>
    <row r="71" spans="1:5" ht="12.95" customHeight="1" thickBot="1">
      <c r="A71" s="84">
        <f t="shared" si="3"/>
        <v>100</v>
      </c>
      <c r="B71" s="85">
        <f t="shared" si="4"/>
        <v>0.0019999999999997797</v>
      </c>
      <c r="C71" s="53"/>
      <c r="D71" s="49"/>
      <c r="E71" s="50"/>
    </row>
    <row r="72" ht="12.95" customHeight="1" thickTop="1"/>
    <row r="73" ht="12.95" customHeight="1" thickBot="1"/>
    <row r="74" spans="1:5" ht="30" customHeight="1" thickTop="1">
      <c r="A74" s="8" t="s">
        <v>12</v>
      </c>
      <c r="B74" s="9">
        <v>3</v>
      </c>
      <c r="C74" s="10" t="s">
        <v>10</v>
      </c>
      <c r="D74" s="11" t="s">
        <v>37</v>
      </c>
      <c r="E74" s="12" t="s">
        <v>38</v>
      </c>
    </row>
    <row r="75" spans="1:5" ht="30" customHeight="1">
      <c r="A75" s="13" t="s">
        <v>7</v>
      </c>
      <c r="B75" s="1" t="s">
        <v>36</v>
      </c>
      <c r="C75" s="60"/>
      <c r="D75" s="2" t="s">
        <v>41</v>
      </c>
      <c r="E75" s="61" t="s">
        <v>39</v>
      </c>
    </row>
    <row r="76" spans="1:5" ht="30" customHeight="1">
      <c r="A76" s="13" t="s">
        <v>15</v>
      </c>
      <c r="B76" s="1"/>
      <c r="C76" s="60"/>
      <c r="D76" s="2" t="s">
        <v>5</v>
      </c>
      <c r="E76" s="61" t="s">
        <v>40</v>
      </c>
    </row>
    <row r="77" spans="1:5" ht="30" customHeight="1" thickBot="1">
      <c r="A77" s="13" t="s">
        <v>8</v>
      </c>
      <c r="B77" s="1" t="s">
        <v>21</v>
      </c>
      <c r="C77" s="62"/>
      <c r="D77" s="63"/>
      <c r="E77" s="64"/>
    </row>
    <row r="78" spans="1:5" ht="30" customHeight="1">
      <c r="A78" s="13" t="s">
        <v>9</v>
      </c>
      <c r="B78" s="1" t="s">
        <v>90</v>
      </c>
      <c r="C78" s="4" t="s">
        <v>11</v>
      </c>
      <c r="D78" s="6">
        <v>60</v>
      </c>
      <c r="E78" s="65"/>
    </row>
    <row r="79" spans="1:5" ht="30" customHeight="1" thickBot="1">
      <c r="A79" s="14" t="s">
        <v>16</v>
      </c>
      <c r="B79" s="16" t="s">
        <v>172</v>
      </c>
      <c r="C79" s="5" t="s">
        <v>0</v>
      </c>
      <c r="D79" s="7">
        <f>IF(D78&lt;0,"valor del indicador fuera de rango",IF(D78&lt;=36,-0.0139*D78+1,IF(D78&lt;=131,(-0.00526*D78)+0.689,IF(D78&lt;=140,0,"valor del indicador fuera rango"))))</f>
        <v>0.37339999999999995</v>
      </c>
      <c r="E79" s="66"/>
    </row>
    <row r="80" spans="1:5" ht="30" customHeight="1">
      <c r="A80" s="15" t="s">
        <v>14</v>
      </c>
      <c r="B80" s="3" t="s">
        <v>0</v>
      </c>
      <c r="C80" s="146" t="s">
        <v>13</v>
      </c>
      <c r="D80" s="144"/>
      <c r="E80" s="145"/>
    </row>
    <row r="81" spans="1:5" ht="12.95" customHeight="1">
      <c r="A81" s="28">
        <v>0</v>
      </c>
      <c r="B81" s="72">
        <f>-0.0139*A81+1</f>
        <v>1</v>
      </c>
      <c r="C81" s="47"/>
      <c r="D81" s="47"/>
      <c r="E81" s="48"/>
    </row>
    <row r="82" spans="1:5" ht="12.95" customHeight="1">
      <c r="A82" s="29">
        <f aca="true" t="shared" si="5" ref="A82:A109">A81+5</f>
        <v>5</v>
      </c>
      <c r="B82" s="72">
        <f aca="true" t="shared" si="6" ref="B82:B88">-0.0139*A82+1</f>
        <v>0.9305</v>
      </c>
      <c r="C82" s="25"/>
      <c r="D82" s="47"/>
      <c r="E82" s="48"/>
    </row>
    <row r="83" spans="1:5" ht="12.95" customHeight="1">
      <c r="A83" s="29">
        <f t="shared" si="5"/>
        <v>10</v>
      </c>
      <c r="B83" s="72">
        <f t="shared" si="6"/>
        <v>0.861</v>
      </c>
      <c r="C83" s="25"/>
      <c r="D83" s="47"/>
      <c r="E83" s="48"/>
    </row>
    <row r="84" spans="1:5" ht="12.95" customHeight="1">
      <c r="A84" s="29">
        <f t="shared" si="5"/>
        <v>15</v>
      </c>
      <c r="B84" s="72">
        <f t="shared" si="6"/>
        <v>0.7915</v>
      </c>
      <c r="C84" s="25"/>
      <c r="D84" s="47"/>
      <c r="E84" s="48"/>
    </row>
    <row r="85" spans="1:5" ht="12.95" customHeight="1">
      <c r="A85" s="29">
        <f t="shared" si="5"/>
        <v>20</v>
      </c>
      <c r="B85" s="72">
        <f t="shared" si="6"/>
        <v>0.722</v>
      </c>
      <c r="C85" s="25"/>
      <c r="D85" s="47"/>
      <c r="E85" s="48"/>
    </row>
    <row r="86" spans="1:5" ht="12.95" customHeight="1">
      <c r="A86" s="29">
        <f t="shared" si="5"/>
        <v>25</v>
      </c>
      <c r="B86" s="72">
        <f t="shared" si="6"/>
        <v>0.6525000000000001</v>
      </c>
      <c r="C86" s="25"/>
      <c r="D86" s="47"/>
      <c r="E86" s="48"/>
    </row>
    <row r="87" spans="1:5" ht="12.95" customHeight="1">
      <c r="A87" s="29">
        <f t="shared" si="5"/>
        <v>30</v>
      </c>
      <c r="B87" s="72">
        <f t="shared" si="6"/>
        <v>0.583</v>
      </c>
      <c r="C87" s="25"/>
      <c r="D87" s="47"/>
      <c r="E87" s="48"/>
    </row>
    <row r="88" spans="1:5" ht="12.95" customHeight="1">
      <c r="A88" s="29">
        <f t="shared" si="5"/>
        <v>35</v>
      </c>
      <c r="B88" s="72">
        <f t="shared" si="6"/>
        <v>0.5135000000000001</v>
      </c>
      <c r="C88" s="25"/>
      <c r="D88" s="47"/>
      <c r="E88" s="48"/>
    </row>
    <row r="89" spans="1:5" ht="12.95" customHeight="1">
      <c r="A89" s="30">
        <f t="shared" si="5"/>
        <v>40</v>
      </c>
      <c r="B89" s="83">
        <f>-0.00526*A89+0.689</f>
        <v>0.4785999999999999</v>
      </c>
      <c r="C89" s="25"/>
      <c r="D89" s="47"/>
      <c r="E89" s="48"/>
    </row>
    <row r="90" spans="1:5" ht="12.95" customHeight="1">
      <c r="A90" s="30">
        <f t="shared" si="5"/>
        <v>45</v>
      </c>
      <c r="B90" s="83">
        <f aca="true" t="shared" si="7" ref="B90:B107">-0.00526*A90+0.689</f>
        <v>0.4522999999999999</v>
      </c>
      <c r="C90" s="25"/>
      <c r="D90" s="47"/>
      <c r="E90" s="48"/>
    </row>
    <row r="91" spans="1:5" ht="12.95" customHeight="1">
      <c r="A91" s="30">
        <f t="shared" si="5"/>
        <v>50</v>
      </c>
      <c r="B91" s="83">
        <f t="shared" si="7"/>
        <v>0.42599999999999993</v>
      </c>
      <c r="C91" s="25"/>
      <c r="D91" s="47"/>
      <c r="E91" s="48"/>
    </row>
    <row r="92" spans="1:5" ht="12.95" customHeight="1">
      <c r="A92" s="30">
        <f t="shared" si="5"/>
        <v>55</v>
      </c>
      <c r="B92" s="83">
        <f t="shared" si="7"/>
        <v>0.39969999999999994</v>
      </c>
      <c r="C92" s="25"/>
      <c r="D92" s="47"/>
      <c r="E92" s="48"/>
    </row>
    <row r="93" spans="1:5" ht="12.95" customHeight="1">
      <c r="A93" s="30">
        <f t="shared" si="5"/>
        <v>60</v>
      </c>
      <c r="B93" s="83">
        <f t="shared" si="7"/>
        <v>0.37339999999999995</v>
      </c>
      <c r="C93" s="25"/>
      <c r="D93" s="47"/>
      <c r="E93" s="48"/>
    </row>
    <row r="94" spans="1:5" ht="12.95" customHeight="1">
      <c r="A94" s="30">
        <f t="shared" si="5"/>
        <v>65</v>
      </c>
      <c r="B94" s="83">
        <f t="shared" si="7"/>
        <v>0.34709999999999996</v>
      </c>
      <c r="C94" s="75"/>
      <c r="D94" s="76"/>
      <c r="E94" s="77"/>
    </row>
    <row r="95" spans="1:5" ht="12.95" customHeight="1">
      <c r="A95" s="30">
        <f t="shared" si="5"/>
        <v>70</v>
      </c>
      <c r="B95" s="83">
        <f t="shared" si="7"/>
        <v>0.3208</v>
      </c>
      <c r="C95" s="75"/>
      <c r="D95" s="76"/>
      <c r="E95" s="77"/>
    </row>
    <row r="96" spans="1:5" ht="12.95" customHeight="1">
      <c r="A96" s="30">
        <f t="shared" si="5"/>
        <v>75</v>
      </c>
      <c r="B96" s="83">
        <f t="shared" si="7"/>
        <v>0.29449999999999993</v>
      </c>
      <c r="C96" s="75"/>
      <c r="D96" s="76"/>
      <c r="E96" s="77"/>
    </row>
    <row r="97" spans="1:5" ht="12.95" customHeight="1">
      <c r="A97" s="30">
        <f t="shared" si="5"/>
        <v>80</v>
      </c>
      <c r="B97" s="83">
        <f t="shared" si="7"/>
        <v>0.26819999999999994</v>
      </c>
      <c r="C97" s="75"/>
      <c r="D97" s="76"/>
      <c r="E97" s="77"/>
    </row>
    <row r="98" spans="1:5" ht="12.95" customHeight="1">
      <c r="A98" s="30">
        <f t="shared" si="5"/>
        <v>85</v>
      </c>
      <c r="B98" s="83">
        <f t="shared" si="7"/>
        <v>0.24189999999999995</v>
      </c>
      <c r="C98" s="75"/>
      <c r="D98" s="76"/>
      <c r="E98" s="77"/>
    </row>
    <row r="99" spans="1:5" ht="12.95" customHeight="1">
      <c r="A99" s="30">
        <f t="shared" si="5"/>
        <v>90</v>
      </c>
      <c r="B99" s="83">
        <f t="shared" si="7"/>
        <v>0.21559999999999996</v>
      </c>
      <c r="C99" s="75"/>
      <c r="D99" s="76"/>
      <c r="E99" s="77"/>
    </row>
    <row r="100" spans="1:5" ht="12.95" customHeight="1">
      <c r="A100" s="30">
        <f t="shared" si="5"/>
        <v>95</v>
      </c>
      <c r="B100" s="83">
        <f t="shared" si="7"/>
        <v>0.18929999999999997</v>
      </c>
      <c r="C100" s="75"/>
      <c r="D100" s="76"/>
      <c r="E100" s="77"/>
    </row>
    <row r="101" spans="1:5" ht="12.95" customHeight="1">
      <c r="A101" s="30">
        <f t="shared" si="5"/>
        <v>100</v>
      </c>
      <c r="B101" s="83">
        <f t="shared" si="7"/>
        <v>0.16299999999999992</v>
      </c>
      <c r="C101" s="75"/>
      <c r="D101" s="76"/>
      <c r="E101" s="77"/>
    </row>
    <row r="102" spans="1:5" ht="12.95" customHeight="1">
      <c r="A102" s="30">
        <f t="shared" si="5"/>
        <v>105</v>
      </c>
      <c r="B102" s="83">
        <f t="shared" si="7"/>
        <v>0.13669999999999993</v>
      </c>
      <c r="C102" s="75"/>
      <c r="D102" s="76"/>
      <c r="E102" s="77"/>
    </row>
    <row r="103" spans="1:5" ht="12.95" customHeight="1">
      <c r="A103" s="30">
        <f t="shared" si="5"/>
        <v>110</v>
      </c>
      <c r="B103" s="83">
        <f t="shared" si="7"/>
        <v>0.11039999999999994</v>
      </c>
      <c r="C103" s="75"/>
      <c r="D103" s="76"/>
      <c r="E103" s="77"/>
    </row>
    <row r="104" spans="1:5" ht="12.95" customHeight="1">
      <c r="A104" s="30">
        <f t="shared" si="5"/>
        <v>115</v>
      </c>
      <c r="B104" s="83">
        <f t="shared" si="7"/>
        <v>0.08409999999999995</v>
      </c>
      <c r="C104" s="75"/>
      <c r="D104" s="76"/>
      <c r="E104" s="77"/>
    </row>
    <row r="105" spans="1:6" ht="12.95" customHeight="1">
      <c r="A105" s="30">
        <f t="shared" si="5"/>
        <v>120</v>
      </c>
      <c r="B105" s="83">
        <f t="shared" si="7"/>
        <v>0.05779999999999996</v>
      </c>
      <c r="C105" s="75"/>
      <c r="D105" s="75"/>
      <c r="E105" s="82"/>
      <c r="F105" s="73"/>
    </row>
    <row r="106" spans="1:6" ht="12.95" customHeight="1">
      <c r="A106" s="30">
        <f t="shared" si="5"/>
        <v>125</v>
      </c>
      <c r="B106" s="83">
        <f t="shared" si="7"/>
        <v>0.03149999999999997</v>
      </c>
      <c r="C106" s="75"/>
      <c r="D106" s="75"/>
      <c r="E106" s="82"/>
      <c r="F106" s="73"/>
    </row>
    <row r="107" spans="1:5" ht="12.95" customHeight="1">
      <c r="A107" s="30">
        <f t="shared" si="5"/>
        <v>130</v>
      </c>
      <c r="B107" s="83">
        <f t="shared" si="7"/>
        <v>0.005199999999999982</v>
      </c>
      <c r="C107" s="76"/>
      <c r="D107" s="76"/>
      <c r="E107" s="77"/>
    </row>
    <row r="108" spans="1:5" ht="12.95" customHeight="1">
      <c r="A108" s="31">
        <f t="shared" si="5"/>
        <v>135</v>
      </c>
      <c r="B108" s="86">
        <v>0</v>
      </c>
      <c r="C108" s="76"/>
      <c r="D108" s="76"/>
      <c r="E108" s="77"/>
    </row>
    <row r="109" spans="1:5" ht="12.95" customHeight="1">
      <c r="A109" s="31">
        <f t="shared" si="5"/>
        <v>140</v>
      </c>
      <c r="B109" s="86">
        <v>0</v>
      </c>
      <c r="C109" s="76"/>
      <c r="D109" s="76"/>
      <c r="E109" s="77"/>
    </row>
    <row r="110" spans="1:6" ht="12.95" customHeight="1">
      <c r="A110" s="81"/>
      <c r="B110" s="76"/>
      <c r="C110" s="76"/>
      <c r="D110" s="76"/>
      <c r="E110" s="77"/>
      <c r="F110" s="47"/>
    </row>
    <row r="111" spans="1:6" ht="12.95" customHeight="1">
      <c r="A111" s="81"/>
      <c r="B111" s="76"/>
      <c r="C111" s="76"/>
      <c r="D111" s="76"/>
      <c r="E111" s="77"/>
      <c r="F111" s="47"/>
    </row>
    <row r="112" spans="1:6" ht="12.95" customHeight="1">
      <c r="A112" s="81"/>
      <c r="B112" s="76"/>
      <c r="C112" s="76"/>
      <c r="D112" s="76"/>
      <c r="E112" s="77"/>
      <c r="F112" s="47"/>
    </row>
    <row r="113" spans="1:6" ht="12.95" customHeight="1">
      <c r="A113" s="81"/>
      <c r="B113" s="76"/>
      <c r="C113" s="76"/>
      <c r="D113" s="76"/>
      <c r="E113" s="77"/>
      <c r="F113" s="47"/>
    </row>
    <row r="114" spans="1:6" ht="12.95" customHeight="1">
      <c r="A114" s="81"/>
      <c r="B114" s="76"/>
      <c r="C114" s="76"/>
      <c r="D114" s="76"/>
      <c r="E114" s="77"/>
      <c r="F114" s="47"/>
    </row>
    <row r="115" spans="1:6" ht="12.95" customHeight="1" thickBot="1">
      <c r="A115" s="89"/>
      <c r="B115" s="87"/>
      <c r="C115" s="87"/>
      <c r="D115" s="87"/>
      <c r="E115" s="88"/>
      <c r="F115" s="47"/>
    </row>
    <row r="116" spans="3:5" ht="12.95" customHeight="1" thickTop="1">
      <c r="C116" s="47"/>
      <c r="D116" s="47"/>
      <c r="E116" s="47"/>
    </row>
  </sheetData>
  <mergeCells count="3">
    <mergeCell ref="C7:E7"/>
    <mergeCell ref="C50:E50"/>
    <mergeCell ref="C80:E8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123"/>
  <sheetViews>
    <sheetView workbookViewId="0" topLeftCell="A61">
      <selection activeCell="C128" sqref="C128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">
        <v>4</v>
      </c>
      <c r="C1" s="10" t="s">
        <v>10</v>
      </c>
      <c r="D1" s="11" t="s">
        <v>1</v>
      </c>
      <c r="E1" s="12" t="s">
        <v>2</v>
      </c>
    </row>
    <row r="2" spans="1:5" ht="30" customHeight="1">
      <c r="A2" s="13" t="s">
        <v>7</v>
      </c>
      <c r="B2" s="1" t="s">
        <v>35</v>
      </c>
      <c r="C2" s="60"/>
      <c r="D2" s="2" t="s">
        <v>3</v>
      </c>
      <c r="E2" s="61" t="s">
        <v>4</v>
      </c>
    </row>
    <row r="3" spans="1:5" ht="30" customHeight="1">
      <c r="A3" s="13" t="s">
        <v>15</v>
      </c>
      <c r="B3" s="1"/>
      <c r="C3" s="60"/>
      <c r="D3" s="2" t="s">
        <v>5</v>
      </c>
      <c r="E3" s="61" t="s">
        <v>42</v>
      </c>
    </row>
    <row r="4" spans="1:5" ht="30" customHeight="1" thickBot="1">
      <c r="A4" s="13" t="s">
        <v>8</v>
      </c>
      <c r="B4" s="1" t="s">
        <v>92</v>
      </c>
      <c r="C4" s="62"/>
      <c r="D4" s="63"/>
      <c r="E4" s="64"/>
    </row>
    <row r="5" spans="1:5" ht="30" customHeight="1">
      <c r="A5" s="13" t="s">
        <v>9</v>
      </c>
      <c r="B5" s="1" t="s">
        <v>89</v>
      </c>
      <c r="C5" s="4" t="s">
        <v>11</v>
      </c>
      <c r="D5" s="6">
        <v>11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rango",IF(D5&lt;=10.9,-0.0036*(D5^2)-(0.00482*D5)+1,IF(D5&lt;=32,(0.00103*(D5^2))-(0.0689*D5)+1.15,IF(D5&lt;=34,0,"valor del indicador fuera rango"))))</f>
        <v>0.5167299999999999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 aca="true" t="shared" si="0" ref="B8:B13">-0.0036*(A8^2)-(0.00482*A8)+1</f>
        <v>1</v>
      </c>
      <c r="C8" s="47"/>
      <c r="D8" s="47"/>
      <c r="E8" s="48"/>
    </row>
    <row r="9" spans="1:5" ht="12.95" customHeight="1">
      <c r="A9" s="29">
        <f>+A8+2</f>
        <v>2</v>
      </c>
      <c r="B9" s="24">
        <f t="shared" si="0"/>
        <v>0.97596</v>
      </c>
      <c r="C9" s="25"/>
      <c r="D9" s="47"/>
      <c r="E9" s="48"/>
    </row>
    <row r="10" spans="1:5" ht="12.95" customHeight="1">
      <c r="A10" s="29">
        <f aca="true" t="shared" si="1" ref="A10:A21">+A9+2</f>
        <v>4</v>
      </c>
      <c r="B10" s="24">
        <f t="shared" si="0"/>
        <v>0.9231199999999999</v>
      </c>
      <c r="C10" s="25"/>
      <c r="D10" s="47"/>
      <c r="E10" s="48"/>
    </row>
    <row r="11" spans="1:5" ht="12.95" customHeight="1">
      <c r="A11" s="29">
        <f t="shared" si="1"/>
        <v>6</v>
      </c>
      <c r="B11" s="24">
        <f t="shared" si="0"/>
        <v>0.84148</v>
      </c>
      <c r="C11" s="25"/>
      <c r="D11" s="47"/>
      <c r="E11" s="48"/>
    </row>
    <row r="12" spans="1:5" ht="12.95" customHeight="1">
      <c r="A12" s="29">
        <f t="shared" si="1"/>
        <v>8</v>
      </c>
      <c r="B12" s="24">
        <f t="shared" si="0"/>
        <v>0.73104</v>
      </c>
      <c r="C12" s="25"/>
      <c r="D12" s="47"/>
      <c r="E12" s="48"/>
    </row>
    <row r="13" spans="1:5" ht="12.95" customHeight="1">
      <c r="A13" s="29">
        <f t="shared" si="1"/>
        <v>10</v>
      </c>
      <c r="B13" s="24">
        <f t="shared" si="0"/>
        <v>0.5918</v>
      </c>
      <c r="C13" s="25"/>
      <c r="D13" s="47"/>
      <c r="E13" s="48"/>
    </row>
    <row r="14" spans="1:5" ht="12.95" customHeight="1">
      <c r="A14" s="30">
        <f t="shared" si="1"/>
        <v>12</v>
      </c>
      <c r="B14" s="26">
        <f aca="true" t="shared" si="2" ref="B14:B26">0.00103*(A14^2)-(0.0689*A14)+1.15</f>
        <v>0.47151999999999994</v>
      </c>
      <c r="C14" s="25"/>
      <c r="D14" s="47"/>
      <c r="E14" s="48"/>
    </row>
    <row r="15" spans="1:5" ht="12.95" customHeight="1">
      <c r="A15" s="30">
        <f t="shared" si="1"/>
        <v>14</v>
      </c>
      <c r="B15" s="26">
        <f t="shared" si="2"/>
        <v>0.38727999999999996</v>
      </c>
      <c r="C15" s="25"/>
      <c r="D15" s="47"/>
      <c r="E15" s="48"/>
    </row>
    <row r="16" spans="1:5" ht="12.95" customHeight="1">
      <c r="A16" s="30">
        <f t="shared" si="1"/>
        <v>16</v>
      </c>
      <c r="B16" s="26">
        <f t="shared" si="2"/>
        <v>0.3112799999999999</v>
      </c>
      <c r="C16" s="25"/>
      <c r="D16" s="47"/>
      <c r="E16" s="48"/>
    </row>
    <row r="17" spans="1:5" ht="12.95" customHeight="1">
      <c r="A17" s="30">
        <f t="shared" si="1"/>
        <v>18</v>
      </c>
      <c r="B17" s="26">
        <f t="shared" si="2"/>
        <v>0.24351999999999996</v>
      </c>
      <c r="C17" s="25"/>
      <c r="D17" s="47"/>
      <c r="E17" s="48"/>
    </row>
    <row r="18" spans="1:5" ht="12.95" customHeight="1">
      <c r="A18" s="30">
        <f t="shared" si="1"/>
        <v>20</v>
      </c>
      <c r="B18" s="26">
        <f t="shared" si="2"/>
        <v>0.18399999999999983</v>
      </c>
      <c r="C18" s="25"/>
      <c r="D18" s="47"/>
      <c r="E18" s="48"/>
    </row>
    <row r="19" spans="1:5" ht="12.95" customHeight="1">
      <c r="A19" s="30">
        <f t="shared" si="1"/>
        <v>22</v>
      </c>
      <c r="B19" s="26">
        <f t="shared" si="2"/>
        <v>0.13271999999999995</v>
      </c>
      <c r="C19" s="25"/>
      <c r="D19" s="47"/>
      <c r="E19" s="48"/>
    </row>
    <row r="20" spans="1:5" ht="12.95" customHeight="1">
      <c r="A20" s="30">
        <f t="shared" si="1"/>
        <v>24</v>
      </c>
      <c r="B20" s="26">
        <f t="shared" si="2"/>
        <v>0.08967999999999998</v>
      </c>
      <c r="C20" s="25"/>
      <c r="D20" s="47"/>
      <c r="E20" s="48"/>
    </row>
    <row r="21" spans="1:5" ht="12.95" customHeight="1">
      <c r="A21" s="30">
        <f t="shared" si="1"/>
        <v>26</v>
      </c>
      <c r="B21" s="26">
        <f t="shared" si="2"/>
        <v>0.05487999999999982</v>
      </c>
      <c r="C21" s="25"/>
      <c r="D21" s="47"/>
      <c r="E21" s="48"/>
    </row>
    <row r="22" spans="1:5" ht="12.95" customHeight="1">
      <c r="A22" s="30">
        <v>27</v>
      </c>
      <c r="B22" s="26">
        <f t="shared" si="2"/>
        <v>0.04056999999999977</v>
      </c>
      <c r="C22" s="25"/>
      <c r="D22" s="47"/>
      <c r="E22" s="48"/>
    </row>
    <row r="23" spans="1:5" ht="12.95" customHeight="1">
      <c r="A23" s="30">
        <v>28</v>
      </c>
      <c r="B23" s="26">
        <f t="shared" si="2"/>
        <v>0.0283199999999999</v>
      </c>
      <c r="C23" s="25"/>
      <c r="D23" s="47"/>
      <c r="E23" s="48"/>
    </row>
    <row r="24" spans="1:5" ht="12.95" customHeight="1">
      <c r="A24" s="30">
        <v>29</v>
      </c>
      <c r="B24" s="26">
        <f t="shared" si="2"/>
        <v>0.01812999999999998</v>
      </c>
      <c r="C24" s="25"/>
      <c r="D24" s="47"/>
      <c r="E24" s="48"/>
    </row>
    <row r="25" spans="1:5" ht="12.95" customHeight="1">
      <c r="A25" s="30">
        <v>30</v>
      </c>
      <c r="B25" s="26">
        <f t="shared" si="2"/>
        <v>0.009999999999999787</v>
      </c>
      <c r="C25" s="25"/>
      <c r="D25" s="47"/>
      <c r="E25" s="48"/>
    </row>
    <row r="26" spans="1:5" ht="12.95" customHeight="1">
      <c r="A26" s="30">
        <v>31</v>
      </c>
      <c r="B26" s="26">
        <f t="shared" si="2"/>
        <v>0.003929999999999989</v>
      </c>
      <c r="C26" s="25"/>
      <c r="D26" s="47"/>
      <c r="E26" s="48"/>
    </row>
    <row r="27" spans="1:5" ht="12.95" customHeight="1">
      <c r="A27" s="31">
        <v>32</v>
      </c>
      <c r="B27" s="27">
        <f>0.00103*(A27^2)-(0.0689*A27)+1.15</f>
        <v>-8.000000000008001E-05</v>
      </c>
      <c r="C27" s="25"/>
      <c r="D27" s="47"/>
      <c r="E27" s="48"/>
    </row>
    <row r="28" spans="1:5" ht="12.95" customHeight="1">
      <c r="A28" s="31">
        <v>33</v>
      </c>
      <c r="B28" s="27">
        <f>0</f>
        <v>0</v>
      </c>
      <c r="C28" s="25"/>
      <c r="D28" s="47"/>
      <c r="E28" s="48"/>
    </row>
    <row r="29" spans="1:5" ht="12.95" customHeight="1" thickBot="1">
      <c r="A29" s="51">
        <v>34</v>
      </c>
      <c r="B29" s="52">
        <f>0</f>
        <v>0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5</v>
      </c>
      <c r="C32" s="10" t="s">
        <v>10</v>
      </c>
      <c r="D32" s="11" t="s">
        <v>1</v>
      </c>
      <c r="E32" s="12" t="s">
        <v>2</v>
      </c>
    </row>
    <row r="33" spans="1:5" ht="30" customHeight="1">
      <c r="A33" s="13" t="s">
        <v>7</v>
      </c>
      <c r="B33" s="1" t="s">
        <v>18</v>
      </c>
      <c r="C33" s="60"/>
      <c r="D33" s="2" t="s">
        <v>3</v>
      </c>
      <c r="E33" s="61" t="s">
        <v>4</v>
      </c>
    </row>
    <row r="34" spans="1:5" ht="30" customHeight="1">
      <c r="A34" s="13" t="s">
        <v>15</v>
      </c>
      <c r="B34" s="1"/>
      <c r="C34" s="60"/>
      <c r="D34" s="2" t="s">
        <v>5</v>
      </c>
      <c r="E34" s="61" t="s">
        <v>6</v>
      </c>
    </row>
    <row r="35" spans="1:5" ht="30" customHeight="1" thickBot="1">
      <c r="A35" s="13" t="s">
        <v>8</v>
      </c>
      <c r="B35" s="1" t="s">
        <v>92</v>
      </c>
      <c r="C35" s="62"/>
      <c r="D35" s="63"/>
      <c r="E35" s="64"/>
    </row>
    <row r="36" spans="1:5" ht="30" customHeight="1">
      <c r="A36" s="13" t="s">
        <v>9</v>
      </c>
      <c r="B36" s="1" t="s">
        <v>89</v>
      </c>
      <c r="C36" s="4" t="s">
        <v>11</v>
      </c>
      <c r="D36" s="6">
        <v>14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rango",IF(D36&lt;=10.9,-0.0036*(D36^2)-(0.00482*D36)+1,IF(D36&lt;=32,(0.00103*(D36^2))-(0.0689*D36)+1.15,IF(D36&lt;=34,0,"valor del indicador fuera rango"))))</f>
        <v>0.38727999999999996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 aca="true" t="shared" si="3" ref="B39:B44">-0.0036*(A39^2)-(0.00482*A39)+1</f>
        <v>1</v>
      </c>
      <c r="C39" s="47"/>
      <c r="D39" s="47"/>
      <c r="E39" s="48"/>
    </row>
    <row r="40" spans="1:5" ht="12.95" customHeight="1">
      <c r="A40" s="29">
        <v>2</v>
      </c>
      <c r="B40" s="24">
        <f t="shared" si="3"/>
        <v>0.97596</v>
      </c>
      <c r="C40" s="25"/>
      <c r="D40" s="47"/>
      <c r="E40" s="48"/>
    </row>
    <row r="41" spans="1:5" ht="12.95" customHeight="1">
      <c r="A41" s="29">
        <v>4</v>
      </c>
      <c r="B41" s="24">
        <f t="shared" si="3"/>
        <v>0.9231199999999999</v>
      </c>
      <c r="C41" s="25"/>
      <c r="D41" s="47"/>
      <c r="E41" s="48"/>
    </row>
    <row r="42" spans="1:5" ht="12.95" customHeight="1">
      <c r="A42" s="28">
        <v>6</v>
      </c>
      <c r="B42" s="24">
        <f t="shared" si="3"/>
        <v>0.84148</v>
      </c>
      <c r="C42" s="25"/>
      <c r="D42" s="47"/>
      <c r="E42" s="48"/>
    </row>
    <row r="43" spans="1:5" ht="12.95" customHeight="1">
      <c r="A43" s="29">
        <v>8</v>
      </c>
      <c r="B43" s="24">
        <f t="shared" si="3"/>
        <v>0.73104</v>
      </c>
      <c r="C43" s="25"/>
      <c r="D43" s="47"/>
      <c r="E43" s="48"/>
    </row>
    <row r="44" spans="1:5" ht="12.95" customHeight="1">
      <c r="A44" s="29">
        <v>10</v>
      </c>
      <c r="B44" s="24">
        <f t="shared" si="3"/>
        <v>0.5918</v>
      </c>
      <c r="C44" s="25"/>
      <c r="D44" s="47"/>
      <c r="E44" s="48"/>
    </row>
    <row r="45" spans="1:5" ht="12.95" customHeight="1">
      <c r="A45" s="30">
        <v>12</v>
      </c>
      <c r="B45" s="83">
        <f>0.00103*(A45^2)-(0.0689*A45)+1.15</f>
        <v>0.47151999999999994</v>
      </c>
      <c r="C45" s="25"/>
      <c r="D45" s="47"/>
      <c r="E45" s="48"/>
    </row>
    <row r="46" spans="1:5" ht="12.95" customHeight="1">
      <c r="A46" s="67">
        <f>+A45+2</f>
        <v>14</v>
      </c>
      <c r="B46" s="83">
        <f aca="true" t="shared" si="4" ref="B46:B61">0.00103*(A46^2)-(0.0689*A46)+1.15</f>
        <v>0.38727999999999996</v>
      </c>
      <c r="C46" s="25"/>
      <c r="D46" s="47"/>
      <c r="E46" s="48"/>
    </row>
    <row r="47" spans="1:5" ht="12.95" customHeight="1">
      <c r="A47" s="67">
        <f>+A46+2</f>
        <v>16</v>
      </c>
      <c r="B47" s="83">
        <f t="shared" si="4"/>
        <v>0.3112799999999999</v>
      </c>
      <c r="C47" s="25"/>
      <c r="D47" s="47"/>
      <c r="E47" s="48"/>
    </row>
    <row r="48" spans="1:5" ht="12.95" customHeight="1">
      <c r="A48" s="67">
        <f>+A47+2</f>
        <v>18</v>
      </c>
      <c r="B48" s="83">
        <f t="shared" si="4"/>
        <v>0.24351999999999996</v>
      </c>
      <c r="C48" s="25"/>
      <c r="D48" s="47"/>
      <c r="E48" s="48"/>
    </row>
    <row r="49" spans="1:5" ht="12.95" customHeight="1">
      <c r="A49" s="67">
        <f>+A48+2</f>
        <v>20</v>
      </c>
      <c r="B49" s="83">
        <f t="shared" si="4"/>
        <v>0.18399999999999983</v>
      </c>
      <c r="C49" s="25"/>
      <c r="D49" s="47"/>
      <c r="E49" s="48"/>
    </row>
    <row r="50" spans="1:5" ht="12.95" customHeight="1">
      <c r="A50" s="67">
        <v>21</v>
      </c>
      <c r="B50" s="83">
        <f t="shared" si="4"/>
        <v>0.15732999999999986</v>
      </c>
      <c r="C50" s="25"/>
      <c r="D50" s="47"/>
      <c r="E50" s="48"/>
    </row>
    <row r="51" spans="1:5" ht="12.95" customHeight="1">
      <c r="A51" s="67">
        <v>22</v>
      </c>
      <c r="B51" s="83">
        <f t="shared" si="4"/>
        <v>0.13271999999999995</v>
      </c>
      <c r="C51" s="25"/>
      <c r="D51" s="47"/>
      <c r="E51" s="48"/>
    </row>
    <row r="52" spans="1:5" ht="12.95" customHeight="1">
      <c r="A52" s="67">
        <v>23</v>
      </c>
      <c r="B52" s="83">
        <f t="shared" si="4"/>
        <v>0.1101700000000001</v>
      </c>
      <c r="C52" s="25"/>
      <c r="D52" s="47"/>
      <c r="E52" s="48"/>
    </row>
    <row r="53" spans="1:5" ht="12.95" customHeight="1">
      <c r="A53" s="67">
        <v>24</v>
      </c>
      <c r="B53" s="83">
        <f t="shared" si="4"/>
        <v>0.08967999999999998</v>
      </c>
      <c r="C53" s="25"/>
      <c r="D53" s="47"/>
      <c r="E53" s="48"/>
    </row>
    <row r="54" spans="1:5" ht="12.95" customHeight="1">
      <c r="A54" s="67">
        <v>25</v>
      </c>
      <c r="B54" s="83">
        <f t="shared" si="4"/>
        <v>0.07124999999999981</v>
      </c>
      <c r="C54" s="25"/>
      <c r="D54" s="47"/>
      <c r="E54" s="48"/>
    </row>
    <row r="55" spans="1:5" ht="12.95" customHeight="1">
      <c r="A55" s="67">
        <v>26</v>
      </c>
      <c r="B55" s="83">
        <f t="shared" si="4"/>
        <v>0.05487999999999982</v>
      </c>
      <c r="C55" s="25"/>
      <c r="D55" s="47"/>
      <c r="E55" s="48"/>
    </row>
    <row r="56" spans="1:5" ht="12.95" customHeight="1">
      <c r="A56" s="30">
        <v>27</v>
      </c>
      <c r="B56" s="83">
        <f t="shared" si="4"/>
        <v>0.04056999999999977</v>
      </c>
      <c r="C56" s="25"/>
      <c r="D56" s="47"/>
      <c r="E56" s="48"/>
    </row>
    <row r="57" spans="1:5" ht="12.95" customHeight="1">
      <c r="A57" s="67">
        <v>28</v>
      </c>
      <c r="B57" s="83">
        <f t="shared" si="4"/>
        <v>0.0283199999999999</v>
      </c>
      <c r="C57" s="25"/>
      <c r="D57" s="47"/>
      <c r="E57" s="48"/>
    </row>
    <row r="58" spans="1:5" ht="12.95" customHeight="1">
      <c r="A58" s="30">
        <v>29</v>
      </c>
      <c r="B58" s="83">
        <f t="shared" si="4"/>
        <v>0.01812999999999998</v>
      </c>
      <c r="C58" s="25"/>
      <c r="D58" s="47"/>
      <c r="E58" s="48"/>
    </row>
    <row r="59" spans="1:5" ht="12.95" customHeight="1">
      <c r="A59" s="30">
        <v>30</v>
      </c>
      <c r="B59" s="83">
        <f t="shared" si="4"/>
        <v>0.009999999999999787</v>
      </c>
      <c r="C59" s="25"/>
      <c r="D59" s="47"/>
      <c r="E59" s="48"/>
    </row>
    <row r="60" spans="1:5" ht="12.95" customHeight="1">
      <c r="A60" s="67">
        <v>31</v>
      </c>
      <c r="B60" s="83">
        <f t="shared" si="4"/>
        <v>0.003929999999999989</v>
      </c>
      <c r="C60" s="25"/>
      <c r="D60" s="47"/>
      <c r="E60" s="48"/>
    </row>
    <row r="61" spans="1:5" ht="12.95" customHeight="1">
      <c r="A61" s="30">
        <v>32</v>
      </c>
      <c r="B61" s="83">
        <f t="shared" si="4"/>
        <v>-8.000000000008001E-05</v>
      </c>
      <c r="C61" s="25"/>
      <c r="D61" s="47"/>
      <c r="E61" s="48"/>
    </row>
    <row r="62" spans="1:5" ht="12.95" customHeight="1">
      <c r="A62" s="31">
        <v>33</v>
      </c>
      <c r="B62" s="27">
        <v>0</v>
      </c>
      <c r="C62" s="25"/>
      <c r="D62" s="47"/>
      <c r="E62" s="48"/>
    </row>
    <row r="63" spans="1:5" ht="12.95" customHeight="1" thickBot="1">
      <c r="A63" s="90">
        <v>34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6</v>
      </c>
      <c r="C66" s="10" t="s">
        <v>10</v>
      </c>
      <c r="D66" s="11" t="s">
        <v>1</v>
      </c>
      <c r="E66" s="12" t="s">
        <v>2</v>
      </c>
    </row>
    <row r="67" spans="1:5" ht="30" customHeight="1">
      <c r="A67" s="13" t="s">
        <v>7</v>
      </c>
      <c r="B67" s="1" t="s">
        <v>19</v>
      </c>
      <c r="C67" s="60"/>
      <c r="D67" s="2" t="s">
        <v>3</v>
      </c>
      <c r="E67" s="61" t="s">
        <v>4</v>
      </c>
    </row>
    <row r="68" spans="1:5" ht="30" customHeight="1">
      <c r="A68" s="13" t="s">
        <v>15</v>
      </c>
      <c r="B68" s="1"/>
      <c r="C68" s="60"/>
      <c r="D68" s="2" t="s">
        <v>5</v>
      </c>
      <c r="E68" s="61" t="s">
        <v>42</v>
      </c>
    </row>
    <row r="69" spans="1:5" ht="30" customHeight="1" thickBot="1">
      <c r="A69" s="13" t="s">
        <v>8</v>
      </c>
      <c r="B69" s="1" t="s">
        <v>92</v>
      </c>
      <c r="C69" s="62"/>
      <c r="D69" s="63"/>
      <c r="E69" s="64"/>
    </row>
    <row r="70" spans="1:5" ht="30" customHeight="1">
      <c r="A70" s="13" t="s">
        <v>9</v>
      </c>
      <c r="B70" s="1" t="s">
        <v>89</v>
      </c>
      <c r="C70" s="4" t="s">
        <v>11</v>
      </c>
      <c r="D70" s="6">
        <v>33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rango",IF(D70&lt;=10.9,-0.0036*(D70^2)-(0.00482*D70)+1,IF(D70&lt;=32,(0.00103*(D70^2))-(0.0689*D70)+1.15,IF(D70&lt;34,0,"valor del indicador fuera rango"))))</f>
        <v>0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 aca="true" t="shared" si="5" ref="B73:B78">-0.0036*(A73^2)-(0.00482*A73)+1</f>
        <v>1</v>
      </c>
      <c r="C73" s="47"/>
      <c r="D73" s="47"/>
      <c r="E73" s="48"/>
    </row>
    <row r="74" spans="1:5" ht="12.95" customHeight="1">
      <c r="A74" s="29">
        <v>2</v>
      </c>
      <c r="B74" s="24">
        <f t="shared" si="5"/>
        <v>0.97596</v>
      </c>
      <c r="C74" s="25"/>
      <c r="D74" s="47"/>
      <c r="E74" s="48"/>
    </row>
    <row r="75" spans="1:5" ht="12.95" customHeight="1">
      <c r="A75" s="29">
        <v>4</v>
      </c>
      <c r="B75" s="24">
        <f t="shared" si="5"/>
        <v>0.9231199999999999</v>
      </c>
      <c r="C75" s="25"/>
      <c r="D75" s="47"/>
      <c r="E75" s="48"/>
    </row>
    <row r="76" spans="1:5" ht="12.95" customHeight="1">
      <c r="A76" s="28">
        <v>6</v>
      </c>
      <c r="B76" s="24">
        <f t="shared" si="5"/>
        <v>0.84148</v>
      </c>
      <c r="C76" s="25"/>
      <c r="D76" s="47"/>
      <c r="E76" s="48"/>
    </row>
    <row r="77" spans="1:5" ht="12.95" customHeight="1">
      <c r="A77" s="29">
        <v>8</v>
      </c>
      <c r="B77" s="24">
        <f t="shared" si="5"/>
        <v>0.73104</v>
      </c>
      <c r="C77" s="25"/>
      <c r="D77" s="47"/>
      <c r="E77" s="48"/>
    </row>
    <row r="78" spans="1:5" ht="12.95" customHeight="1">
      <c r="A78" s="29">
        <v>10</v>
      </c>
      <c r="B78" s="24">
        <f t="shared" si="5"/>
        <v>0.5918</v>
      </c>
      <c r="C78" s="25"/>
      <c r="D78" s="47"/>
      <c r="E78" s="48"/>
    </row>
    <row r="79" spans="1:5" ht="12.95" customHeight="1">
      <c r="A79" s="30">
        <v>11</v>
      </c>
      <c r="B79" s="26">
        <f aca="true" t="shared" si="6" ref="B79:B94">0.00103*(A79^2)-(0.0689*A79)+1.15</f>
        <v>0.5167299999999999</v>
      </c>
      <c r="C79" s="25"/>
      <c r="D79" s="47"/>
      <c r="E79" s="48"/>
    </row>
    <row r="80" spans="1:5" ht="12.95" customHeight="1">
      <c r="A80" s="67">
        <v>12</v>
      </c>
      <c r="B80" s="26">
        <f t="shared" si="6"/>
        <v>0.47151999999999994</v>
      </c>
      <c r="C80" s="25"/>
      <c r="D80" s="47"/>
      <c r="E80" s="48"/>
    </row>
    <row r="81" spans="1:5" ht="12.95" customHeight="1">
      <c r="A81" s="30">
        <v>14</v>
      </c>
      <c r="B81" s="26">
        <f t="shared" si="6"/>
        <v>0.38727999999999996</v>
      </c>
      <c r="C81" s="25"/>
      <c r="D81" s="47"/>
      <c r="E81" s="48"/>
    </row>
    <row r="82" spans="1:5" ht="12.95" customHeight="1">
      <c r="A82" s="30">
        <v>18</v>
      </c>
      <c r="B82" s="26">
        <f t="shared" si="6"/>
        <v>0.24351999999999996</v>
      </c>
      <c r="C82" s="25"/>
      <c r="D82" s="47"/>
      <c r="E82" s="48"/>
    </row>
    <row r="83" spans="1:5" ht="12.95" customHeight="1">
      <c r="A83" s="67">
        <v>20</v>
      </c>
      <c r="B83" s="26">
        <f t="shared" si="6"/>
        <v>0.18399999999999983</v>
      </c>
      <c r="C83" s="25"/>
      <c r="D83" s="47"/>
      <c r="E83" s="48"/>
    </row>
    <row r="84" spans="1:5" ht="12.95" customHeight="1">
      <c r="A84" s="30">
        <f>+A83+2</f>
        <v>22</v>
      </c>
      <c r="B84" s="26">
        <f t="shared" si="6"/>
        <v>0.13271999999999995</v>
      </c>
      <c r="C84" s="25"/>
      <c r="D84" s="47"/>
      <c r="E84" s="48"/>
    </row>
    <row r="85" spans="1:5" ht="12.95" customHeight="1">
      <c r="A85" s="30">
        <f>+A84+1</f>
        <v>23</v>
      </c>
      <c r="B85" s="26">
        <f t="shared" si="6"/>
        <v>0.1101700000000001</v>
      </c>
      <c r="C85" s="25"/>
      <c r="D85" s="47"/>
      <c r="E85" s="48"/>
    </row>
    <row r="86" spans="1:5" ht="12.95" customHeight="1">
      <c r="A86" s="30">
        <f aca="true" t="shared" si="7" ref="A86:A91">+A87-1</f>
        <v>24</v>
      </c>
      <c r="B86" s="83">
        <f t="shared" si="6"/>
        <v>0.08967999999999998</v>
      </c>
      <c r="C86" s="25"/>
      <c r="D86" s="47"/>
      <c r="E86" s="48"/>
    </row>
    <row r="87" spans="1:5" ht="12.95" customHeight="1">
      <c r="A87" s="30">
        <f t="shared" si="7"/>
        <v>25</v>
      </c>
      <c r="B87" s="83">
        <f t="shared" si="6"/>
        <v>0.07124999999999981</v>
      </c>
      <c r="C87" s="25"/>
      <c r="D87" s="47"/>
      <c r="E87" s="48"/>
    </row>
    <row r="88" spans="1:5" ht="12.95" customHeight="1">
      <c r="A88" s="30">
        <f t="shared" si="7"/>
        <v>26</v>
      </c>
      <c r="B88" s="83">
        <f t="shared" si="6"/>
        <v>0.05487999999999982</v>
      </c>
      <c r="C88" s="25"/>
      <c r="D88" s="47"/>
      <c r="E88" s="48"/>
    </row>
    <row r="89" spans="1:5" ht="12.95" customHeight="1">
      <c r="A89" s="30">
        <f t="shared" si="7"/>
        <v>27</v>
      </c>
      <c r="B89" s="83">
        <f t="shared" si="6"/>
        <v>0.04056999999999977</v>
      </c>
      <c r="C89" s="25"/>
      <c r="D89" s="47"/>
      <c r="E89" s="48"/>
    </row>
    <row r="90" spans="1:5" ht="12.95" customHeight="1">
      <c r="A90" s="30">
        <f t="shared" si="7"/>
        <v>28</v>
      </c>
      <c r="B90" s="83">
        <f t="shared" si="6"/>
        <v>0.0283199999999999</v>
      </c>
      <c r="C90" s="25"/>
      <c r="D90" s="47"/>
      <c r="E90" s="48"/>
    </row>
    <row r="91" spans="1:5" ht="12.95" customHeight="1">
      <c r="A91" s="30">
        <f t="shared" si="7"/>
        <v>29</v>
      </c>
      <c r="B91" s="83">
        <f t="shared" si="6"/>
        <v>0.01812999999999998</v>
      </c>
      <c r="C91" s="25"/>
      <c r="D91" s="47"/>
      <c r="E91" s="48"/>
    </row>
    <row r="92" spans="1:5" ht="12.95" customHeight="1">
      <c r="A92" s="30">
        <v>30</v>
      </c>
      <c r="B92" s="83">
        <f t="shared" si="6"/>
        <v>0.009999999999999787</v>
      </c>
      <c r="C92" s="25"/>
      <c r="D92" s="47"/>
      <c r="E92" s="48"/>
    </row>
    <row r="93" spans="1:5" ht="12.95" customHeight="1">
      <c r="A93" s="30">
        <v>31</v>
      </c>
      <c r="B93" s="83">
        <f t="shared" si="6"/>
        <v>0.003929999999999989</v>
      </c>
      <c r="C93" s="25"/>
      <c r="D93" s="47"/>
      <c r="E93" s="48"/>
    </row>
    <row r="94" spans="1:5" ht="12.95" customHeight="1">
      <c r="A94" s="30">
        <v>32</v>
      </c>
      <c r="B94" s="83">
        <f t="shared" si="6"/>
        <v>-8.000000000008001E-05</v>
      </c>
      <c r="C94" s="25"/>
      <c r="D94" s="47"/>
      <c r="E94" s="48"/>
    </row>
    <row r="95" spans="1:5" ht="12.95" customHeight="1">
      <c r="A95" s="31">
        <v>32</v>
      </c>
      <c r="B95" s="86">
        <v>0</v>
      </c>
      <c r="C95" s="25"/>
      <c r="D95" s="47"/>
      <c r="E95" s="48"/>
    </row>
    <row r="96" spans="1:5" ht="12.95" customHeight="1">
      <c r="A96" s="31">
        <v>33</v>
      </c>
      <c r="B96" s="86">
        <v>0</v>
      </c>
      <c r="C96" s="25"/>
      <c r="D96" s="47"/>
      <c r="E96" s="48"/>
    </row>
    <row r="97" spans="1:5" ht="12.95" customHeight="1" thickBot="1">
      <c r="A97" s="51">
        <v>34</v>
      </c>
      <c r="B97" s="107">
        <v>0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7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1" t="s">
        <v>20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20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0.8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8" ref="B107:B123">-0.01*A107+1</f>
        <v>1</v>
      </c>
      <c r="C107" s="47"/>
      <c r="D107" s="47"/>
      <c r="E107" s="48"/>
    </row>
    <row r="108" spans="1:5" ht="12.95" customHeight="1">
      <c r="A108" s="29">
        <f aca="true" t="shared" si="9" ref="A108:A117">A107+5</f>
        <v>5</v>
      </c>
      <c r="B108" s="24">
        <f t="shared" si="8"/>
        <v>0.95</v>
      </c>
      <c r="C108" s="25"/>
      <c r="D108" s="47"/>
      <c r="E108" s="48"/>
    </row>
    <row r="109" spans="1:5" ht="12.95" customHeight="1">
      <c r="A109" s="29">
        <f t="shared" si="9"/>
        <v>10</v>
      </c>
      <c r="B109" s="24">
        <f t="shared" si="8"/>
        <v>0.9</v>
      </c>
      <c r="C109" s="25"/>
      <c r="D109" s="47"/>
      <c r="E109" s="48"/>
    </row>
    <row r="110" spans="1:5" ht="12.95" customHeight="1">
      <c r="A110" s="29">
        <f t="shared" si="9"/>
        <v>15</v>
      </c>
      <c r="B110" s="24">
        <f t="shared" si="8"/>
        <v>0.85</v>
      </c>
      <c r="C110" s="25"/>
      <c r="D110" s="47"/>
      <c r="E110" s="48"/>
    </row>
    <row r="111" spans="1:5" ht="12.95" customHeight="1">
      <c r="A111" s="29">
        <f t="shared" si="9"/>
        <v>20</v>
      </c>
      <c r="B111" s="24">
        <f t="shared" si="8"/>
        <v>0.8</v>
      </c>
      <c r="C111" s="25"/>
      <c r="D111" s="47"/>
      <c r="E111" s="48"/>
    </row>
    <row r="112" spans="1:5" ht="12.95" customHeight="1">
      <c r="A112" s="29">
        <f t="shared" si="9"/>
        <v>25</v>
      </c>
      <c r="B112" s="24">
        <f t="shared" si="8"/>
        <v>0.75</v>
      </c>
      <c r="C112" s="25"/>
      <c r="D112" s="47"/>
      <c r="E112" s="48"/>
    </row>
    <row r="113" spans="1:5" ht="12.95" customHeight="1">
      <c r="A113" s="29">
        <f t="shared" si="9"/>
        <v>30</v>
      </c>
      <c r="B113" s="24">
        <f t="shared" si="8"/>
        <v>0.7</v>
      </c>
      <c r="C113" s="25"/>
      <c r="D113" s="47"/>
      <c r="E113" s="48"/>
    </row>
    <row r="114" spans="1:5" ht="12.95" customHeight="1">
      <c r="A114" s="29">
        <f t="shared" si="9"/>
        <v>35</v>
      </c>
      <c r="B114" s="24">
        <f t="shared" si="8"/>
        <v>0.6499999999999999</v>
      </c>
      <c r="C114" s="25"/>
      <c r="D114" s="47"/>
      <c r="E114" s="48"/>
    </row>
    <row r="115" spans="1:5" ht="12.95" customHeight="1">
      <c r="A115" s="29">
        <f t="shared" si="9"/>
        <v>40</v>
      </c>
      <c r="B115" s="24">
        <f t="shared" si="8"/>
        <v>0.6</v>
      </c>
      <c r="C115" s="25"/>
      <c r="D115" s="47"/>
      <c r="E115" s="48"/>
    </row>
    <row r="116" spans="1:5" ht="12.95" customHeight="1">
      <c r="A116" s="29">
        <f t="shared" si="9"/>
        <v>45</v>
      </c>
      <c r="B116" s="24">
        <f t="shared" si="8"/>
        <v>0.55</v>
      </c>
      <c r="C116" s="25"/>
      <c r="D116" s="47"/>
      <c r="E116" s="48"/>
    </row>
    <row r="117" spans="1:5" ht="12.95" customHeight="1">
      <c r="A117" s="29">
        <f t="shared" si="9"/>
        <v>50</v>
      </c>
      <c r="B117" s="24">
        <f t="shared" si="8"/>
        <v>0.5</v>
      </c>
      <c r="C117" s="25"/>
      <c r="D117" s="47"/>
      <c r="E117" s="48"/>
    </row>
    <row r="118" spans="1:5" ht="12.95" customHeight="1">
      <c r="A118" s="29">
        <v>55</v>
      </c>
      <c r="B118" s="24">
        <f t="shared" si="8"/>
        <v>0.44999999999999996</v>
      </c>
      <c r="C118" s="25"/>
      <c r="D118" s="47"/>
      <c r="E118" s="48"/>
    </row>
    <row r="119" spans="1:5" ht="12.95" customHeight="1">
      <c r="A119" s="29">
        <v>60</v>
      </c>
      <c r="B119" s="24">
        <f t="shared" si="8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8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8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8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8"/>
        <v>0</v>
      </c>
      <c r="C123" s="53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123"/>
  <sheetViews>
    <sheetView workbookViewId="0" topLeftCell="B1">
      <selection activeCell="D127" sqref="D127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8</v>
      </c>
      <c r="C1" s="10" t="s">
        <v>10</v>
      </c>
      <c r="D1" s="11" t="s">
        <v>24</v>
      </c>
      <c r="E1" s="12" t="s">
        <v>25</v>
      </c>
    </row>
    <row r="2" spans="1:5" ht="30" customHeight="1">
      <c r="A2" s="13" t="s">
        <v>7</v>
      </c>
      <c r="B2" s="1" t="s">
        <v>94</v>
      </c>
      <c r="C2" s="60"/>
      <c r="D2" s="2" t="s">
        <v>26</v>
      </c>
      <c r="E2" s="61" t="s">
        <v>27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91</v>
      </c>
      <c r="C5" s="4" t="s">
        <v>11</v>
      </c>
      <c r="D5" s="6">
        <v>110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rango",IF(D5&lt;=104.5,-0.000025*(D5^2)-(0.00221*D5)+1,IF(D5&lt;=200,(0.0000151*(D5^2))-(0.00981*D5)+1.36,"valor del indicador fuera rango")))</f>
        <v>0.4636100000000001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104">
        <f>-0.000025*(A8^2)-(0.00221*A8)+1</f>
        <v>1</v>
      </c>
      <c r="C8" s="47"/>
      <c r="D8" s="47"/>
      <c r="E8" s="48"/>
    </row>
    <row r="9" spans="1:5" ht="12.95" customHeight="1">
      <c r="A9" s="29">
        <v>10</v>
      </c>
      <c r="B9" s="104">
        <f aca="true" t="shared" si="0" ref="B9:B18">-0.000025*(A9^2)-(0.00221*A9)+1</f>
        <v>0.9754</v>
      </c>
      <c r="C9" s="25"/>
      <c r="D9" s="47"/>
      <c r="E9" s="48"/>
    </row>
    <row r="10" spans="1:5" ht="12.95" customHeight="1">
      <c r="A10" s="29">
        <v>20</v>
      </c>
      <c r="B10" s="104">
        <f t="shared" si="0"/>
        <v>0.9458</v>
      </c>
      <c r="C10" s="25"/>
      <c r="D10" s="47"/>
      <c r="E10" s="48"/>
    </row>
    <row r="11" spans="1:5" ht="12.95" customHeight="1">
      <c r="A11" s="29">
        <v>30</v>
      </c>
      <c r="B11" s="104">
        <f t="shared" si="0"/>
        <v>0.9112</v>
      </c>
      <c r="C11" s="25"/>
      <c r="D11" s="47"/>
      <c r="E11" s="48"/>
    </row>
    <row r="12" spans="1:5" ht="12.95" customHeight="1">
      <c r="A12" s="29">
        <v>40</v>
      </c>
      <c r="B12" s="104">
        <f t="shared" si="0"/>
        <v>0.8715999999999999</v>
      </c>
      <c r="C12" s="25"/>
      <c r="D12" s="47"/>
      <c r="E12" s="48"/>
    </row>
    <row r="13" spans="1:5" ht="12.95" customHeight="1">
      <c r="A13" s="29">
        <v>50</v>
      </c>
      <c r="B13" s="104">
        <f t="shared" si="0"/>
        <v>0.827</v>
      </c>
      <c r="C13" s="25"/>
      <c r="D13" s="47"/>
      <c r="E13" s="48"/>
    </row>
    <row r="14" spans="1:5" ht="12.95" customHeight="1">
      <c r="A14" s="29">
        <v>60</v>
      </c>
      <c r="B14" s="104">
        <f t="shared" si="0"/>
        <v>0.7774</v>
      </c>
      <c r="C14" s="25"/>
      <c r="D14" s="47"/>
      <c r="E14" s="48"/>
    </row>
    <row r="15" spans="1:5" ht="12.95" customHeight="1">
      <c r="A15" s="29">
        <v>70</v>
      </c>
      <c r="B15" s="104">
        <f t="shared" si="0"/>
        <v>0.7228</v>
      </c>
      <c r="C15" s="25"/>
      <c r="D15" s="47"/>
      <c r="E15" s="48"/>
    </row>
    <row r="16" spans="1:5" ht="12.95" customHeight="1">
      <c r="A16" s="29">
        <v>80</v>
      </c>
      <c r="B16" s="104">
        <f t="shared" si="0"/>
        <v>0.6632</v>
      </c>
      <c r="C16" s="25"/>
      <c r="D16" s="47"/>
      <c r="E16" s="48"/>
    </row>
    <row r="17" spans="1:5" ht="12.95" customHeight="1">
      <c r="A17" s="29">
        <v>90</v>
      </c>
      <c r="B17" s="104">
        <f t="shared" si="0"/>
        <v>0.5986</v>
      </c>
      <c r="C17" s="25"/>
      <c r="D17" s="47"/>
      <c r="E17" s="48"/>
    </row>
    <row r="18" spans="1:5" ht="12.95" customHeight="1">
      <c r="A18" s="29">
        <v>100</v>
      </c>
      <c r="B18" s="104">
        <f t="shared" si="0"/>
        <v>0.5289999999999999</v>
      </c>
      <c r="C18" s="25"/>
      <c r="D18" s="47"/>
      <c r="E18" s="48"/>
    </row>
    <row r="19" spans="1:5" ht="12.95" customHeight="1">
      <c r="A19" s="30">
        <v>105</v>
      </c>
      <c r="B19" s="105">
        <f>0.0000151*(A19^2)-(0.00981*A19)+1.36</f>
        <v>0.49642750000000024</v>
      </c>
      <c r="C19" s="25"/>
      <c r="D19" s="47"/>
      <c r="E19" s="48"/>
    </row>
    <row r="20" spans="1:5" ht="12.95" customHeight="1">
      <c r="A20" s="30">
        <v>110</v>
      </c>
      <c r="B20" s="105">
        <f aca="true" t="shared" si="1" ref="B20:B29">0.0000151*(A20^2)-(0.00981*A20)+1.36</f>
        <v>0.4636100000000001</v>
      </c>
      <c r="C20" s="25"/>
      <c r="D20" s="47"/>
      <c r="E20" s="48"/>
    </row>
    <row r="21" spans="1:5" ht="12.95" customHeight="1">
      <c r="A21" s="30">
        <f aca="true" t="shared" si="2" ref="A21:A29">+A20+10</f>
        <v>120</v>
      </c>
      <c r="B21" s="105">
        <f t="shared" si="1"/>
        <v>0.40024000000000004</v>
      </c>
      <c r="C21" s="25"/>
      <c r="D21" s="47"/>
      <c r="E21" s="48"/>
    </row>
    <row r="22" spans="1:5" ht="12.95" customHeight="1">
      <c r="A22" s="30">
        <f t="shared" si="2"/>
        <v>130</v>
      </c>
      <c r="B22" s="105">
        <f t="shared" si="1"/>
        <v>0.33989000000000025</v>
      </c>
      <c r="C22" s="25"/>
      <c r="D22" s="47"/>
      <c r="E22" s="48"/>
    </row>
    <row r="23" spans="1:5" ht="12.95" customHeight="1">
      <c r="A23" s="30">
        <f t="shared" si="2"/>
        <v>140</v>
      </c>
      <c r="B23" s="105">
        <f t="shared" si="1"/>
        <v>0.28256000000000014</v>
      </c>
      <c r="C23" s="25"/>
      <c r="D23" s="47"/>
      <c r="E23" s="48"/>
    </row>
    <row r="24" spans="1:5" ht="12.95" customHeight="1">
      <c r="A24" s="30">
        <f t="shared" si="2"/>
        <v>150</v>
      </c>
      <c r="B24" s="105">
        <f t="shared" si="1"/>
        <v>0.22825000000000029</v>
      </c>
      <c r="C24" s="25"/>
      <c r="D24" s="47"/>
      <c r="E24" s="48"/>
    </row>
    <row r="25" spans="1:5" ht="12.95" customHeight="1">
      <c r="A25" s="30">
        <f t="shared" si="2"/>
        <v>160</v>
      </c>
      <c r="B25" s="105">
        <f t="shared" si="1"/>
        <v>0.17696000000000023</v>
      </c>
      <c r="C25" s="25"/>
      <c r="D25" s="47"/>
      <c r="E25" s="48"/>
    </row>
    <row r="26" spans="1:5" ht="12.95" customHeight="1">
      <c r="A26" s="30">
        <f t="shared" si="2"/>
        <v>170</v>
      </c>
      <c r="B26" s="105">
        <f t="shared" si="1"/>
        <v>0.1286900000000002</v>
      </c>
      <c r="C26" s="25"/>
      <c r="D26" s="47"/>
      <c r="E26" s="48"/>
    </row>
    <row r="27" spans="1:5" ht="12.95" customHeight="1">
      <c r="A27" s="30">
        <f t="shared" si="2"/>
        <v>180</v>
      </c>
      <c r="B27" s="105">
        <f t="shared" si="1"/>
        <v>0.08344000000000018</v>
      </c>
      <c r="C27" s="25"/>
      <c r="D27" s="47"/>
      <c r="E27" s="48"/>
    </row>
    <row r="28" spans="1:5" ht="12.95" customHeight="1">
      <c r="A28" s="30">
        <f t="shared" si="2"/>
        <v>190</v>
      </c>
      <c r="B28" s="105">
        <f t="shared" si="1"/>
        <v>0.04121000000000019</v>
      </c>
      <c r="C28" s="25"/>
      <c r="D28" s="47"/>
      <c r="E28" s="48"/>
    </row>
    <row r="29" spans="1:5" ht="12.95" customHeight="1" thickBot="1">
      <c r="A29" s="84">
        <f t="shared" si="2"/>
        <v>200</v>
      </c>
      <c r="B29" s="106">
        <f t="shared" si="1"/>
        <v>0.002000000000000446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9</v>
      </c>
      <c r="C32" s="10" t="s">
        <v>10</v>
      </c>
      <c r="D32" s="11" t="s">
        <v>24</v>
      </c>
      <c r="E32" s="12" t="s">
        <v>25</v>
      </c>
    </row>
    <row r="33" spans="1:5" ht="30" customHeight="1">
      <c r="A33" s="13" t="s">
        <v>7</v>
      </c>
      <c r="B33" s="1" t="s">
        <v>95</v>
      </c>
      <c r="C33" s="60"/>
      <c r="D33" s="2" t="s">
        <v>26</v>
      </c>
      <c r="E33" s="61" t="s">
        <v>27</v>
      </c>
    </row>
    <row r="34" spans="1:5" ht="30" customHeight="1">
      <c r="A34" s="13" t="s">
        <v>15</v>
      </c>
      <c r="B34" s="1"/>
      <c r="C34" s="60"/>
      <c r="D34" s="2"/>
      <c r="E34" s="61"/>
    </row>
    <row r="35" spans="1:5" ht="30" customHeight="1" thickBot="1">
      <c r="A35" s="13" t="s">
        <v>8</v>
      </c>
      <c r="B35" s="17" t="s">
        <v>93</v>
      </c>
      <c r="C35" s="62"/>
      <c r="D35" s="63"/>
      <c r="E35" s="64"/>
    </row>
    <row r="36" spans="1:5" ht="30" customHeight="1">
      <c r="A36" s="13" t="s">
        <v>9</v>
      </c>
      <c r="B36" s="1" t="s">
        <v>91</v>
      </c>
      <c r="C36" s="4" t="s">
        <v>11</v>
      </c>
      <c r="D36" s="6">
        <v>40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rango",IF(D36&lt;=104.5,-0.000025*(D36^2)-(0.00221*D36)+1,IF(D36&lt;=200,(0.0000151*(D36^2))-(0.00981*D36)+1.36,"valor del indicador fuera rango")))</f>
        <v>0.8715999999999999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104">
        <f>-0.000025*(A39^2)-(0.00221*A39)+1</f>
        <v>1</v>
      </c>
      <c r="C39" s="47"/>
      <c r="D39" s="47"/>
      <c r="E39" s="48"/>
    </row>
    <row r="40" spans="1:5" ht="12.95" customHeight="1">
      <c r="A40" s="29">
        <v>10</v>
      </c>
      <c r="B40" s="104">
        <f aca="true" t="shared" si="3" ref="B40:B49">-0.000025*(A40^2)-(0.00221*A40)+1</f>
        <v>0.9754</v>
      </c>
      <c r="C40" s="25"/>
      <c r="D40" s="47"/>
      <c r="E40" s="48"/>
    </row>
    <row r="41" spans="1:5" ht="12.95" customHeight="1">
      <c r="A41" s="29">
        <v>20</v>
      </c>
      <c r="B41" s="104">
        <f t="shared" si="3"/>
        <v>0.9458</v>
      </c>
      <c r="C41" s="25"/>
      <c r="D41" s="47"/>
      <c r="E41" s="48"/>
    </row>
    <row r="42" spans="1:5" ht="12.95" customHeight="1">
      <c r="A42" s="29">
        <v>30</v>
      </c>
      <c r="B42" s="104">
        <f t="shared" si="3"/>
        <v>0.9112</v>
      </c>
      <c r="C42" s="25"/>
      <c r="D42" s="47"/>
      <c r="E42" s="48"/>
    </row>
    <row r="43" spans="1:5" ht="12.95" customHeight="1">
      <c r="A43" s="29">
        <v>40</v>
      </c>
      <c r="B43" s="104">
        <f t="shared" si="3"/>
        <v>0.8715999999999999</v>
      </c>
      <c r="C43" s="25"/>
      <c r="D43" s="47"/>
      <c r="E43" s="48"/>
    </row>
    <row r="44" spans="1:5" ht="12.95" customHeight="1">
      <c r="A44" s="29">
        <v>50</v>
      </c>
      <c r="B44" s="104">
        <f t="shared" si="3"/>
        <v>0.827</v>
      </c>
      <c r="C44" s="25"/>
      <c r="D44" s="47"/>
      <c r="E44" s="48"/>
    </row>
    <row r="45" spans="1:5" ht="12.95" customHeight="1">
      <c r="A45" s="29">
        <v>60</v>
      </c>
      <c r="B45" s="104">
        <f t="shared" si="3"/>
        <v>0.7774</v>
      </c>
      <c r="C45" s="25"/>
      <c r="D45" s="47"/>
      <c r="E45" s="48"/>
    </row>
    <row r="46" spans="1:5" ht="12.95" customHeight="1">
      <c r="A46" s="29">
        <v>70</v>
      </c>
      <c r="B46" s="104">
        <f t="shared" si="3"/>
        <v>0.7228</v>
      </c>
      <c r="C46" s="25"/>
      <c r="D46" s="47"/>
      <c r="E46" s="48"/>
    </row>
    <row r="47" spans="1:5" ht="12.95" customHeight="1">
      <c r="A47" s="29">
        <v>80</v>
      </c>
      <c r="B47" s="104">
        <f t="shared" si="3"/>
        <v>0.6632</v>
      </c>
      <c r="C47" s="25"/>
      <c r="D47" s="47"/>
      <c r="E47" s="48"/>
    </row>
    <row r="48" spans="1:5" ht="12.95" customHeight="1">
      <c r="A48" s="29">
        <v>90</v>
      </c>
      <c r="B48" s="104">
        <f t="shared" si="3"/>
        <v>0.5986</v>
      </c>
      <c r="C48" s="25"/>
      <c r="D48" s="47"/>
      <c r="E48" s="48"/>
    </row>
    <row r="49" spans="1:5" ht="12.95" customHeight="1">
      <c r="A49" s="29">
        <v>100</v>
      </c>
      <c r="B49" s="104">
        <f t="shared" si="3"/>
        <v>0.5289999999999999</v>
      </c>
      <c r="C49" s="25"/>
      <c r="D49" s="47"/>
      <c r="E49" s="48"/>
    </row>
    <row r="50" spans="1:5" ht="12.95" customHeight="1">
      <c r="A50" s="30">
        <v>105</v>
      </c>
      <c r="B50" s="105">
        <f>0.0000151*(A50^2)-(0.00981*A50)+1.36</f>
        <v>0.49642750000000024</v>
      </c>
      <c r="C50" s="25"/>
      <c r="D50" s="47"/>
      <c r="E50" s="48"/>
    </row>
    <row r="51" spans="1:5" ht="12.95" customHeight="1">
      <c r="A51" s="30">
        <v>110</v>
      </c>
      <c r="B51" s="105">
        <f aca="true" t="shared" si="4" ref="B51:B63">0.0000151*(A51^2)-(0.00981*A51)+1.36</f>
        <v>0.4636100000000001</v>
      </c>
      <c r="C51" s="25"/>
      <c r="D51" s="47"/>
      <c r="E51" s="48"/>
    </row>
    <row r="52" spans="1:5" ht="12.95" customHeight="1">
      <c r="A52" s="30">
        <v>115</v>
      </c>
      <c r="B52" s="105">
        <f t="shared" si="4"/>
        <v>0.4315475000000001</v>
      </c>
      <c r="C52" s="25"/>
      <c r="D52" s="47"/>
      <c r="E52" s="48"/>
    </row>
    <row r="53" spans="1:5" ht="12.95" customHeight="1">
      <c r="A53" s="30">
        <v>120</v>
      </c>
      <c r="B53" s="105">
        <f t="shared" si="4"/>
        <v>0.40024000000000004</v>
      </c>
      <c r="C53" s="25"/>
      <c r="D53" s="47"/>
      <c r="E53" s="48"/>
    </row>
    <row r="54" spans="1:5" ht="12.95" customHeight="1">
      <c r="A54" s="30">
        <v>125</v>
      </c>
      <c r="B54" s="105">
        <f t="shared" si="4"/>
        <v>0.3696875000000003</v>
      </c>
      <c r="C54" s="25"/>
      <c r="D54" s="47"/>
      <c r="E54" s="48"/>
    </row>
    <row r="55" spans="1:5" ht="12.95" customHeight="1">
      <c r="A55" s="30">
        <f aca="true" t="shared" si="5" ref="A55:A60">+A54+10</f>
        <v>135</v>
      </c>
      <c r="B55" s="105">
        <f t="shared" si="4"/>
        <v>0.31084750000000017</v>
      </c>
      <c r="C55" s="25"/>
      <c r="D55" s="47"/>
      <c r="E55" s="48"/>
    </row>
    <row r="56" spans="1:5" ht="12.95" customHeight="1">
      <c r="A56" s="30">
        <f t="shared" si="5"/>
        <v>145</v>
      </c>
      <c r="B56" s="105">
        <f t="shared" si="4"/>
        <v>0.25502749999999996</v>
      </c>
      <c r="C56" s="25"/>
      <c r="D56" s="47"/>
      <c r="E56" s="48"/>
    </row>
    <row r="57" spans="1:5" ht="12.95" customHeight="1">
      <c r="A57" s="30">
        <f t="shared" si="5"/>
        <v>155</v>
      </c>
      <c r="B57" s="105">
        <f t="shared" si="4"/>
        <v>0.20222750000000023</v>
      </c>
      <c r="C57" s="25"/>
      <c r="D57" s="47"/>
      <c r="E57" s="48"/>
    </row>
    <row r="58" spans="1:5" ht="12.95" customHeight="1">
      <c r="A58" s="30">
        <f t="shared" si="5"/>
        <v>165</v>
      </c>
      <c r="B58" s="105">
        <f t="shared" si="4"/>
        <v>0.1524475000000003</v>
      </c>
      <c r="C58" s="25"/>
      <c r="D58" s="47"/>
      <c r="E58" s="48"/>
    </row>
    <row r="59" spans="1:5" ht="12.95" customHeight="1">
      <c r="A59" s="30">
        <f t="shared" si="5"/>
        <v>175</v>
      </c>
      <c r="B59" s="105">
        <f t="shared" si="4"/>
        <v>0.10568750000000038</v>
      </c>
      <c r="C59" s="25"/>
      <c r="D59" s="47"/>
      <c r="E59" s="48"/>
    </row>
    <row r="60" spans="1:5" ht="12.95" customHeight="1">
      <c r="A60" s="30">
        <f t="shared" si="5"/>
        <v>185</v>
      </c>
      <c r="B60" s="105">
        <f t="shared" si="4"/>
        <v>0.061947500000000266</v>
      </c>
      <c r="C60" s="25"/>
      <c r="D60" s="47"/>
      <c r="E60" s="48"/>
    </row>
    <row r="61" spans="1:5" ht="12.95" customHeight="1">
      <c r="A61" s="30">
        <f>+A60+5</f>
        <v>190</v>
      </c>
      <c r="B61" s="105">
        <f t="shared" si="4"/>
        <v>0.04121000000000019</v>
      </c>
      <c r="C61" s="25"/>
      <c r="D61" s="47"/>
      <c r="E61" s="48"/>
    </row>
    <row r="62" spans="1:5" ht="12.95" customHeight="1">
      <c r="A62" s="30">
        <f>+A61+5</f>
        <v>195</v>
      </c>
      <c r="B62" s="105">
        <f t="shared" si="4"/>
        <v>0.021227500000000177</v>
      </c>
      <c r="C62" s="25"/>
      <c r="D62" s="47"/>
      <c r="E62" s="48"/>
    </row>
    <row r="63" spans="1:5" ht="12.95" customHeight="1" thickBot="1">
      <c r="A63" s="84">
        <f>+A62+5</f>
        <v>200</v>
      </c>
      <c r="B63" s="106">
        <f t="shared" si="4"/>
        <v>0.002000000000000446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10</v>
      </c>
      <c r="C66" s="10" t="s">
        <v>10</v>
      </c>
      <c r="D66" s="11" t="s">
        <v>24</v>
      </c>
      <c r="E66" s="12" t="s">
        <v>25</v>
      </c>
    </row>
    <row r="67" spans="1:5" ht="30" customHeight="1">
      <c r="A67" s="13" t="s">
        <v>7</v>
      </c>
      <c r="B67" s="1" t="s">
        <v>96</v>
      </c>
      <c r="C67" s="60"/>
      <c r="D67" s="2" t="s">
        <v>26</v>
      </c>
      <c r="E67" s="61" t="s">
        <v>27</v>
      </c>
    </row>
    <row r="68" spans="1:5" ht="30" customHeight="1">
      <c r="A68" s="13" t="s">
        <v>15</v>
      </c>
      <c r="B68" s="1"/>
      <c r="C68" s="60"/>
      <c r="D68" s="2"/>
      <c r="E68" s="61"/>
    </row>
    <row r="69" spans="1:5" ht="30" customHeight="1" thickBot="1">
      <c r="A69" s="13" t="s">
        <v>8</v>
      </c>
      <c r="B69" s="17" t="s">
        <v>93</v>
      </c>
      <c r="C69" s="62"/>
      <c r="D69" s="63"/>
      <c r="E69" s="64"/>
    </row>
    <row r="70" spans="1:5" ht="30" customHeight="1">
      <c r="A70" s="13" t="s">
        <v>9</v>
      </c>
      <c r="B70" s="1" t="s">
        <v>91</v>
      </c>
      <c r="C70" s="4" t="s">
        <v>11</v>
      </c>
      <c r="D70" s="6">
        <v>110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rango",IF(D70&lt;=104.5,-0.000025*(D70^2)-(0.00221*D70)+1,IF(D70&lt;=200,(0.0000151*(D70^2))-(0.00981*D70)+1.36,"valor del indicador fuera rango")))</f>
        <v>0.4636100000000001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104">
        <f>-0.000025*(A73^2)-(0.00221*A73)+1</f>
        <v>1</v>
      </c>
      <c r="C73" s="47"/>
      <c r="D73" s="47"/>
      <c r="E73" s="48"/>
    </row>
    <row r="74" spans="1:5" ht="12.95" customHeight="1">
      <c r="A74" s="29">
        <v>10</v>
      </c>
      <c r="B74" s="104">
        <f aca="true" t="shared" si="6" ref="B74:B83">-0.000025*(A74^2)-(0.00221*A74)+1</f>
        <v>0.9754</v>
      </c>
      <c r="C74" s="25"/>
      <c r="D74" s="47"/>
      <c r="E74" s="48"/>
    </row>
    <row r="75" spans="1:5" ht="12.95" customHeight="1">
      <c r="A75" s="29">
        <v>20</v>
      </c>
      <c r="B75" s="104">
        <f t="shared" si="6"/>
        <v>0.9458</v>
      </c>
      <c r="C75" s="25"/>
      <c r="D75" s="47"/>
      <c r="E75" s="48"/>
    </row>
    <row r="76" spans="1:5" ht="12.95" customHeight="1">
      <c r="A76" s="29">
        <v>30</v>
      </c>
      <c r="B76" s="104">
        <f t="shared" si="6"/>
        <v>0.9112</v>
      </c>
      <c r="C76" s="25"/>
      <c r="D76" s="47"/>
      <c r="E76" s="48"/>
    </row>
    <row r="77" spans="1:5" ht="12.95" customHeight="1">
      <c r="A77" s="29">
        <v>40</v>
      </c>
      <c r="B77" s="104">
        <f t="shared" si="6"/>
        <v>0.8715999999999999</v>
      </c>
      <c r="C77" s="25"/>
      <c r="D77" s="47"/>
      <c r="E77" s="48"/>
    </row>
    <row r="78" spans="1:5" ht="12.95" customHeight="1">
      <c r="A78" s="29">
        <v>50</v>
      </c>
      <c r="B78" s="104">
        <f t="shared" si="6"/>
        <v>0.827</v>
      </c>
      <c r="C78" s="25"/>
      <c r="D78" s="47"/>
      <c r="E78" s="48"/>
    </row>
    <row r="79" spans="1:5" ht="12.95" customHeight="1">
      <c r="A79" s="29">
        <v>60</v>
      </c>
      <c r="B79" s="104">
        <f t="shared" si="6"/>
        <v>0.7774</v>
      </c>
      <c r="C79" s="25"/>
      <c r="D79" s="47"/>
      <c r="E79" s="48"/>
    </row>
    <row r="80" spans="1:5" ht="12.95" customHeight="1">
      <c r="A80" s="29">
        <v>70</v>
      </c>
      <c r="B80" s="104">
        <f t="shared" si="6"/>
        <v>0.7228</v>
      </c>
      <c r="C80" s="25"/>
      <c r="D80" s="47"/>
      <c r="E80" s="48"/>
    </row>
    <row r="81" spans="1:5" ht="12.95" customHeight="1">
      <c r="A81" s="29">
        <v>80</v>
      </c>
      <c r="B81" s="104">
        <f t="shared" si="6"/>
        <v>0.6632</v>
      </c>
      <c r="C81" s="25"/>
      <c r="D81" s="47"/>
      <c r="E81" s="48"/>
    </row>
    <row r="82" spans="1:5" ht="12.95" customHeight="1">
      <c r="A82" s="29">
        <v>90</v>
      </c>
      <c r="B82" s="104">
        <f t="shared" si="6"/>
        <v>0.5986</v>
      </c>
      <c r="C82" s="25"/>
      <c r="D82" s="47"/>
      <c r="E82" s="48"/>
    </row>
    <row r="83" spans="1:5" ht="12.95" customHeight="1">
      <c r="A83" s="29">
        <v>100</v>
      </c>
      <c r="B83" s="104">
        <f t="shared" si="6"/>
        <v>0.5289999999999999</v>
      </c>
      <c r="C83" s="25"/>
      <c r="D83" s="47"/>
      <c r="E83" s="48"/>
    </row>
    <row r="84" spans="1:5" ht="12.95" customHeight="1">
      <c r="A84" s="30">
        <v>105</v>
      </c>
      <c r="B84" s="105">
        <f>0.0000151*(A84^2)-(0.00981*A84)+1.36</f>
        <v>0.49642750000000024</v>
      </c>
      <c r="C84" s="25"/>
      <c r="D84" s="47"/>
      <c r="E84" s="48"/>
    </row>
    <row r="85" spans="1:5" ht="12.95" customHeight="1">
      <c r="A85" s="30">
        <v>110</v>
      </c>
      <c r="B85" s="105">
        <f aca="true" t="shared" si="7" ref="B85:B97">0.0000151*(A85^2)-(0.00981*A85)+1.36</f>
        <v>0.4636100000000001</v>
      </c>
      <c r="C85" s="25"/>
      <c r="D85" s="47"/>
      <c r="E85" s="48"/>
    </row>
    <row r="86" spans="1:5" ht="12.95" customHeight="1">
      <c r="A86" s="30">
        <v>115</v>
      </c>
      <c r="B86" s="105">
        <f t="shared" si="7"/>
        <v>0.4315475000000001</v>
      </c>
      <c r="C86" s="25"/>
      <c r="D86" s="47"/>
      <c r="E86" s="48"/>
    </row>
    <row r="87" spans="1:5" ht="12.95" customHeight="1">
      <c r="A87" s="30">
        <v>120</v>
      </c>
      <c r="B87" s="105">
        <f t="shared" si="7"/>
        <v>0.40024000000000004</v>
      </c>
      <c r="C87" s="25"/>
      <c r="D87" s="47"/>
      <c r="E87" s="48"/>
    </row>
    <row r="88" spans="1:5" ht="12.95" customHeight="1">
      <c r="A88" s="30">
        <v>125</v>
      </c>
      <c r="B88" s="105">
        <f t="shared" si="7"/>
        <v>0.3696875000000003</v>
      </c>
      <c r="C88" s="25"/>
      <c r="D88" s="47"/>
      <c r="E88" s="48"/>
    </row>
    <row r="89" spans="1:5" ht="12.95" customHeight="1">
      <c r="A89" s="30">
        <f aca="true" t="shared" si="8" ref="A89:A94">+A88+10</f>
        <v>135</v>
      </c>
      <c r="B89" s="105">
        <f t="shared" si="7"/>
        <v>0.31084750000000017</v>
      </c>
      <c r="C89" s="25"/>
      <c r="D89" s="47"/>
      <c r="E89" s="48"/>
    </row>
    <row r="90" spans="1:5" ht="12.95" customHeight="1">
      <c r="A90" s="30">
        <f t="shared" si="8"/>
        <v>145</v>
      </c>
      <c r="B90" s="105">
        <f t="shared" si="7"/>
        <v>0.25502749999999996</v>
      </c>
      <c r="C90" s="25"/>
      <c r="D90" s="47"/>
      <c r="E90" s="48"/>
    </row>
    <row r="91" spans="1:5" ht="12.95" customHeight="1">
      <c r="A91" s="30">
        <f t="shared" si="8"/>
        <v>155</v>
      </c>
      <c r="B91" s="105">
        <f t="shared" si="7"/>
        <v>0.20222750000000023</v>
      </c>
      <c r="C91" s="25"/>
      <c r="D91" s="47"/>
      <c r="E91" s="48"/>
    </row>
    <row r="92" spans="1:5" ht="12.95" customHeight="1">
      <c r="A92" s="30">
        <f t="shared" si="8"/>
        <v>165</v>
      </c>
      <c r="B92" s="105">
        <f t="shared" si="7"/>
        <v>0.1524475000000003</v>
      </c>
      <c r="C92" s="25"/>
      <c r="D92" s="47"/>
      <c r="E92" s="48"/>
    </row>
    <row r="93" spans="1:5" ht="12.95" customHeight="1">
      <c r="A93" s="30">
        <f t="shared" si="8"/>
        <v>175</v>
      </c>
      <c r="B93" s="105">
        <f t="shared" si="7"/>
        <v>0.10568750000000038</v>
      </c>
      <c r="C93" s="25"/>
      <c r="D93" s="47"/>
      <c r="E93" s="48"/>
    </row>
    <row r="94" spans="1:5" ht="12.95" customHeight="1">
      <c r="A94" s="30">
        <f t="shared" si="8"/>
        <v>185</v>
      </c>
      <c r="B94" s="105">
        <f t="shared" si="7"/>
        <v>0.061947500000000266</v>
      </c>
      <c r="C94" s="25"/>
      <c r="D94" s="47"/>
      <c r="E94" s="48"/>
    </row>
    <row r="95" spans="1:5" ht="12.95" customHeight="1">
      <c r="A95" s="30">
        <f>+A94+5</f>
        <v>190</v>
      </c>
      <c r="B95" s="105">
        <f t="shared" si="7"/>
        <v>0.04121000000000019</v>
      </c>
      <c r="C95" s="25"/>
      <c r="D95" s="47"/>
      <c r="E95" s="48"/>
    </row>
    <row r="96" spans="1:5" ht="12.95" customHeight="1" thickBot="1">
      <c r="A96" s="30">
        <f>+A95+5</f>
        <v>195</v>
      </c>
      <c r="B96" s="105">
        <f t="shared" si="7"/>
        <v>0.021227500000000177</v>
      </c>
      <c r="C96" s="49"/>
      <c r="D96" s="49"/>
      <c r="E96" s="50"/>
    </row>
    <row r="97" spans="1:5" ht="12.95" customHeight="1" thickBot="1" thickTop="1">
      <c r="A97" s="84">
        <f>+A96+5</f>
        <v>200</v>
      </c>
      <c r="B97" s="106">
        <f t="shared" si="7"/>
        <v>0.002000000000000446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11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35" t="s">
        <v>78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10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0.9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9" ref="B107:B123">-0.01*A107+1</f>
        <v>1</v>
      </c>
      <c r="C107" s="47"/>
      <c r="D107" s="47"/>
      <c r="E107" s="48"/>
    </row>
    <row r="108" spans="1:5" ht="12.95" customHeight="1">
      <c r="A108" s="29">
        <v>2</v>
      </c>
      <c r="B108" s="24">
        <f t="shared" si="9"/>
        <v>0.98</v>
      </c>
      <c r="C108" s="25"/>
      <c r="D108" s="47"/>
      <c r="E108" s="48"/>
    </row>
    <row r="109" spans="1:5" ht="12.95" customHeight="1">
      <c r="A109" s="29">
        <v>4</v>
      </c>
      <c r="B109" s="24">
        <f t="shared" si="9"/>
        <v>0.96</v>
      </c>
      <c r="C109" s="25"/>
      <c r="D109" s="47"/>
      <c r="E109" s="48"/>
    </row>
    <row r="110" spans="1:5" ht="12.95" customHeight="1">
      <c r="A110" s="29">
        <v>6</v>
      </c>
      <c r="B110" s="24">
        <f t="shared" si="9"/>
        <v>0.94</v>
      </c>
      <c r="C110" s="25"/>
      <c r="D110" s="47"/>
      <c r="E110" s="48"/>
    </row>
    <row r="111" spans="1:5" ht="12.95" customHeight="1">
      <c r="A111" s="29">
        <v>8</v>
      </c>
      <c r="B111" s="24">
        <f t="shared" si="9"/>
        <v>0.92</v>
      </c>
      <c r="C111" s="25"/>
      <c r="D111" s="47"/>
      <c r="E111" s="48"/>
    </row>
    <row r="112" spans="1:5" ht="12.95" customHeight="1">
      <c r="A112" s="29">
        <v>10</v>
      </c>
      <c r="B112" s="24">
        <f t="shared" si="9"/>
        <v>0.9</v>
      </c>
      <c r="C112" s="25"/>
      <c r="D112" s="47"/>
      <c r="E112" s="48"/>
    </row>
    <row r="113" spans="1:5" ht="12.95" customHeight="1">
      <c r="A113" s="29">
        <v>15</v>
      </c>
      <c r="B113" s="24">
        <f t="shared" si="9"/>
        <v>0.85</v>
      </c>
      <c r="C113" s="25"/>
      <c r="D113" s="47"/>
      <c r="E113" s="48"/>
    </row>
    <row r="114" spans="1:5" ht="12.95" customHeight="1">
      <c r="A114" s="29">
        <v>20</v>
      </c>
      <c r="B114" s="24">
        <f t="shared" si="9"/>
        <v>0.8</v>
      </c>
      <c r="C114" s="25"/>
      <c r="D114" s="47"/>
      <c r="E114" s="48"/>
    </row>
    <row r="115" spans="1:5" ht="12.95" customHeight="1">
      <c r="A115" s="29">
        <v>25</v>
      </c>
      <c r="B115" s="24">
        <f t="shared" si="9"/>
        <v>0.75</v>
      </c>
      <c r="C115" s="25"/>
      <c r="D115" s="47"/>
      <c r="E115" s="48"/>
    </row>
    <row r="116" spans="1:5" ht="12.95" customHeight="1">
      <c r="A116" s="29">
        <v>30</v>
      </c>
      <c r="B116" s="24">
        <f t="shared" si="9"/>
        <v>0.7</v>
      </c>
      <c r="C116" s="25"/>
      <c r="D116" s="47"/>
      <c r="E116" s="48"/>
    </row>
    <row r="117" spans="1:5" ht="12.95" customHeight="1">
      <c r="A117" s="29">
        <v>40</v>
      </c>
      <c r="B117" s="24">
        <f t="shared" si="9"/>
        <v>0.6</v>
      </c>
      <c r="C117" s="25"/>
      <c r="D117" s="47"/>
      <c r="E117" s="48"/>
    </row>
    <row r="118" spans="1:5" ht="12.95" customHeight="1">
      <c r="A118" s="29">
        <v>50</v>
      </c>
      <c r="B118" s="24">
        <f t="shared" si="9"/>
        <v>0.5</v>
      </c>
      <c r="C118" s="25"/>
      <c r="D118" s="47"/>
      <c r="E118" s="48"/>
    </row>
    <row r="119" spans="1:5" ht="12.95" customHeight="1">
      <c r="A119" s="29">
        <v>60</v>
      </c>
      <c r="B119" s="24">
        <f t="shared" si="9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9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9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9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9"/>
        <v>0</v>
      </c>
      <c r="C123" s="49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122"/>
  <sheetViews>
    <sheetView tabSelected="1" zoomScale="130" zoomScaleNormal="130" workbookViewId="0" topLeftCell="A103">
      <selection activeCell="D130" sqref="D130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s="38" customFormat="1" ht="30" customHeight="1" thickTop="1">
      <c r="A1" s="8" t="s">
        <v>12</v>
      </c>
      <c r="B1" s="32">
        <v>12</v>
      </c>
      <c r="C1" s="10" t="s">
        <v>10</v>
      </c>
      <c r="D1" s="33" t="s">
        <v>48</v>
      </c>
      <c r="E1" s="34" t="s">
        <v>44</v>
      </c>
    </row>
    <row r="2" spans="1:5" s="38" customFormat="1" ht="30" customHeight="1">
      <c r="A2" s="13" t="s">
        <v>7</v>
      </c>
      <c r="B2" s="35" t="s">
        <v>173</v>
      </c>
      <c r="C2" s="39"/>
      <c r="D2" s="36" t="s">
        <v>79</v>
      </c>
      <c r="E2" s="40" t="s">
        <v>45</v>
      </c>
    </row>
    <row r="3" spans="1:5" s="38" customFormat="1" ht="30" customHeight="1">
      <c r="A3" s="13" t="s">
        <v>15</v>
      </c>
      <c r="B3" s="35"/>
      <c r="C3" s="39"/>
      <c r="D3" s="36" t="s">
        <v>5</v>
      </c>
      <c r="E3" s="40" t="s">
        <v>46</v>
      </c>
    </row>
    <row r="4" spans="1:5" s="38" customFormat="1" ht="30" customHeight="1" thickBot="1">
      <c r="A4" s="13" t="s">
        <v>8</v>
      </c>
      <c r="B4" s="17" t="s">
        <v>93</v>
      </c>
      <c r="C4" s="41"/>
      <c r="D4" s="42"/>
      <c r="E4" s="43"/>
    </row>
    <row r="5" spans="1:5" s="38" customFormat="1" ht="30" customHeight="1">
      <c r="A5" s="13" t="s">
        <v>9</v>
      </c>
      <c r="B5" s="35" t="s">
        <v>87</v>
      </c>
      <c r="C5" s="4" t="s">
        <v>11</v>
      </c>
      <c r="D5" s="6">
        <v>400</v>
      </c>
      <c r="E5" s="44"/>
    </row>
    <row r="6" spans="1:5" s="38" customFormat="1" ht="30" customHeight="1" thickBot="1">
      <c r="A6" s="14" t="s">
        <v>16</v>
      </c>
      <c r="B6" s="37" t="s">
        <v>17</v>
      </c>
      <c r="C6" s="5" t="s">
        <v>0</v>
      </c>
      <c r="D6" s="7">
        <f>IF(D5&lt;0,"valor del indicador fuera de rango",IF(D5&lt;=400,0.0000023*(D5^2)-(0.00305*D5)+1,IF(D5&lt;=600,(0.00000122*(D5^2))-(0.00187*D5)+0.702,IF(D5&lt;800,0,"valor del indicador fuera del rango"))))</f>
        <v>0.14800000000000002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>((0.0000023*((A8)^2))-(0.00305*(A8))+1)</f>
        <v>1</v>
      </c>
      <c r="C8" s="47"/>
      <c r="D8" s="47"/>
      <c r="E8" s="48"/>
    </row>
    <row r="9" spans="1:5" ht="12.95" customHeight="1">
      <c r="A9" s="29">
        <f>+A8+40</f>
        <v>40</v>
      </c>
      <c r="B9" s="24">
        <f aca="true" t="shared" si="0" ref="B9:B18">((0.0000023*((A9)^2))-(0.00305*(A9))+1)</f>
        <v>0.88168</v>
      </c>
      <c r="C9" s="25"/>
      <c r="D9" s="47"/>
      <c r="E9" s="48"/>
    </row>
    <row r="10" spans="1:5" ht="12.95" customHeight="1">
      <c r="A10" s="29">
        <f aca="true" t="shared" si="1" ref="A10:A24">+A9+40</f>
        <v>80</v>
      </c>
      <c r="B10" s="24">
        <f t="shared" si="0"/>
        <v>0.77072</v>
      </c>
      <c r="C10" s="25"/>
      <c r="D10" s="47"/>
      <c r="E10" s="48"/>
    </row>
    <row r="11" spans="1:5" ht="12.95" customHeight="1">
      <c r="A11" s="29">
        <f t="shared" si="1"/>
        <v>120</v>
      </c>
      <c r="B11" s="24">
        <f t="shared" si="0"/>
        <v>0.6671199999999999</v>
      </c>
      <c r="C11" s="25"/>
      <c r="D11" s="47"/>
      <c r="E11" s="48"/>
    </row>
    <row r="12" spans="1:5" ht="12.95" customHeight="1">
      <c r="A12" s="29">
        <f t="shared" si="1"/>
        <v>160</v>
      </c>
      <c r="B12" s="24">
        <f t="shared" si="0"/>
        <v>0.5708799999999999</v>
      </c>
      <c r="C12" s="25"/>
      <c r="D12" s="47"/>
      <c r="E12" s="48"/>
    </row>
    <row r="13" spans="1:5" ht="12.95" customHeight="1">
      <c r="A13" s="29">
        <f t="shared" si="1"/>
        <v>200</v>
      </c>
      <c r="B13" s="24">
        <f t="shared" si="0"/>
        <v>0.482</v>
      </c>
      <c r="C13" s="25"/>
      <c r="D13" s="47"/>
      <c r="E13" s="48"/>
    </row>
    <row r="14" spans="1:5" ht="12.95" customHeight="1">
      <c r="A14" s="29">
        <f t="shared" si="1"/>
        <v>240</v>
      </c>
      <c r="B14" s="24">
        <f t="shared" si="0"/>
        <v>0.40047999999999995</v>
      </c>
      <c r="C14" s="25"/>
      <c r="D14" s="47"/>
      <c r="E14" s="48"/>
    </row>
    <row r="15" spans="1:5" ht="12.95" customHeight="1">
      <c r="A15" s="29">
        <f t="shared" si="1"/>
        <v>280</v>
      </c>
      <c r="B15" s="24">
        <f t="shared" si="0"/>
        <v>0.32631999999999994</v>
      </c>
      <c r="C15" s="25"/>
      <c r="D15" s="47"/>
      <c r="E15" s="48"/>
    </row>
    <row r="16" spans="1:5" ht="12.95" customHeight="1">
      <c r="A16" s="29">
        <f t="shared" si="1"/>
        <v>320</v>
      </c>
      <c r="B16" s="24">
        <f t="shared" si="0"/>
        <v>0.25952</v>
      </c>
      <c r="C16" s="25"/>
      <c r="D16" s="47"/>
      <c r="E16" s="48"/>
    </row>
    <row r="17" spans="1:5" ht="12.95" customHeight="1">
      <c r="A17" s="29">
        <f t="shared" si="1"/>
        <v>360</v>
      </c>
      <c r="B17" s="24">
        <f t="shared" si="0"/>
        <v>0.20007999999999992</v>
      </c>
      <c r="C17" s="25"/>
      <c r="D17" s="47"/>
      <c r="E17" s="48"/>
    </row>
    <row r="18" spans="1:5" ht="12.95" customHeight="1">
      <c r="A18" s="29">
        <f t="shared" si="1"/>
        <v>400</v>
      </c>
      <c r="B18" s="24">
        <f t="shared" si="0"/>
        <v>0.14800000000000002</v>
      </c>
      <c r="C18" s="25"/>
      <c r="D18" s="47"/>
      <c r="E18" s="48"/>
    </row>
    <row r="19" spans="1:5" ht="12.95" customHeight="1">
      <c r="A19" s="30">
        <f t="shared" si="1"/>
        <v>440</v>
      </c>
      <c r="B19" s="26">
        <f>(0.00000122*(A19^2))-(0.00187*A19)+0.702</f>
        <v>0.11539199999999994</v>
      </c>
      <c r="C19" s="25"/>
      <c r="D19" s="47"/>
      <c r="E19" s="48"/>
    </row>
    <row r="20" spans="1:5" ht="12.95" customHeight="1">
      <c r="A20" s="30">
        <f t="shared" si="1"/>
        <v>480</v>
      </c>
      <c r="B20" s="26">
        <f>(0.00000122*(A20^2))-(0.00187*A20)+0.702</f>
        <v>0.08548800000000001</v>
      </c>
      <c r="C20" s="25"/>
      <c r="D20" s="47"/>
      <c r="E20" s="48"/>
    </row>
    <row r="21" spans="1:5" ht="12.95" customHeight="1">
      <c r="A21" s="30">
        <f t="shared" si="1"/>
        <v>520</v>
      </c>
      <c r="B21" s="26">
        <f>(0.00000122*(A21^2))-(0.00187*A21)+0.702</f>
        <v>0.059487999999999985</v>
      </c>
      <c r="C21" s="25"/>
      <c r="D21" s="47"/>
      <c r="E21" s="48"/>
    </row>
    <row r="22" spans="1:5" ht="12.95" customHeight="1">
      <c r="A22" s="30">
        <f t="shared" si="1"/>
        <v>560</v>
      </c>
      <c r="B22" s="26">
        <f>(0.00000122*(A22^2))-(0.00187*A22)+0.702</f>
        <v>0.03739200000000009</v>
      </c>
      <c r="C22" s="25"/>
      <c r="D22" s="47"/>
      <c r="E22" s="48"/>
    </row>
    <row r="23" spans="1:5" ht="12.95" customHeight="1">
      <c r="A23" s="30">
        <f t="shared" si="1"/>
        <v>600</v>
      </c>
      <c r="B23" s="26">
        <f>(0.00000122*(A23^2))-(0.00187*A23)+0.702</f>
        <v>0.019200000000000106</v>
      </c>
      <c r="C23" s="25"/>
      <c r="D23" s="47"/>
      <c r="E23" s="48"/>
    </row>
    <row r="24" spans="1:5" ht="12.95" customHeight="1">
      <c r="A24" s="31">
        <f t="shared" si="1"/>
        <v>640</v>
      </c>
      <c r="B24" s="27">
        <v>0</v>
      </c>
      <c r="C24" s="25"/>
      <c r="D24" s="47"/>
      <c r="E24" s="48"/>
    </row>
    <row r="25" spans="1:5" ht="12.95" customHeight="1">
      <c r="A25" s="31">
        <f>+A24+40</f>
        <v>680</v>
      </c>
      <c r="B25" s="27">
        <v>0</v>
      </c>
      <c r="C25" s="25"/>
      <c r="D25" s="47"/>
      <c r="E25" s="48"/>
    </row>
    <row r="26" spans="1:5" ht="12.95" customHeight="1">
      <c r="A26" s="31">
        <f>+A25+40</f>
        <v>720</v>
      </c>
      <c r="B26" s="27">
        <v>0</v>
      </c>
      <c r="C26" s="25"/>
      <c r="D26" s="47"/>
      <c r="E26" s="48"/>
    </row>
    <row r="27" spans="1:5" ht="12.95" customHeight="1">
      <c r="A27" s="31">
        <f>+A26+40</f>
        <v>760</v>
      </c>
      <c r="B27" s="27">
        <v>0</v>
      </c>
      <c r="C27" s="25"/>
      <c r="D27" s="47"/>
      <c r="E27" s="48"/>
    </row>
    <row r="28" spans="1:5" ht="12.95" customHeight="1">
      <c r="A28" s="31">
        <v>780</v>
      </c>
      <c r="B28" s="27">
        <v>0</v>
      </c>
      <c r="C28" s="25"/>
      <c r="D28" s="47"/>
      <c r="E28" s="48"/>
    </row>
    <row r="29" spans="1:5" ht="12.95" customHeight="1" thickBot="1">
      <c r="A29" s="51">
        <v>800</v>
      </c>
      <c r="B29" s="52">
        <v>0</v>
      </c>
      <c r="C29" s="53"/>
      <c r="D29" s="49"/>
      <c r="E29" s="50"/>
    </row>
    <row r="30" ht="12.95" customHeight="1" thickTop="1"/>
    <row r="31" ht="12.95" customHeight="1" thickBot="1"/>
    <row r="32" spans="1:5" s="38" customFormat="1" ht="30" customHeight="1" thickTop="1">
      <c r="A32" s="8" t="s">
        <v>12</v>
      </c>
      <c r="B32" s="32">
        <v>13</v>
      </c>
      <c r="C32" s="10" t="s">
        <v>10</v>
      </c>
      <c r="D32" s="33" t="s">
        <v>48</v>
      </c>
      <c r="E32" s="34" t="s">
        <v>44</v>
      </c>
    </row>
    <row r="33" spans="1:5" s="38" customFormat="1" ht="30" customHeight="1">
      <c r="A33" s="13" t="s">
        <v>7</v>
      </c>
      <c r="B33" s="35" t="s">
        <v>174</v>
      </c>
      <c r="C33" s="39"/>
      <c r="D33" s="36" t="s">
        <v>79</v>
      </c>
      <c r="E33" s="40" t="s">
        <v>45</v>
      </c>
    </row>
    <row r="34" spans="1:5" s="38" customFormat="1" ht="30" customHeight="1">
      <c r="A34" s="13" t="s">
        <v>15</v>
      </c>
      <c r="B34" s="54"/>
      <c r="C34" s="39"/>
      <c r="D34" s="36" t="s">
        <v>5</v>
      </c>
      <c r="E34" s="40" t="s">
        <v>46</v>
      </c>
    </row>
    <row r="35" spans="1:5" s="38" customFormat="1" ht="30" customHeight="1" thickBot="1">
      <c r="A35" s="13" t="s">
        <v>8</v>
      </c>
      <c r="B35" s="17" t="s">
        <v>93</v>
      </c>
      <c r="C35" s="41"/>
      <c r="D35" s="42"/>
      <c r="E35" s="43"/>
    </row>
    <row r="36" spans="1:5" s="38" customFormat="1" ht="30" customHeight="1">
      <c r="A36" s="13" t="s">
        <v>9</v>
      </c>
      <c r="B36" s="35" t="s">
        <v>87</v>
      </c>
      <c r="C36" s="4" t="s">
        <v>11</v>
      </c>
      <c r="D36" s="6">
        <v>600</v>
      </c>
      <c r="E36" s="44"/>
    </row>
    <row r="37" spans="1:5" s="38" customFormat="1" ht="30" customHeight="1" thickBot="1">
      <c r="A37" s="14" t="s">
        <v>16</v>
      </c>
      <c r="B37" s="37" t="s">
        <v>17</v>
      </c>
      <c r="C37" s="5" t="s">
        <v>0</v>
      </c>
      <c r="D37" s="7">
        <f>IF(D36&lt;0,"valor del indicador fuera de rango",IF(D36&lt;=400,0.0000023*(D36^2)-(0.00305*D36)+1,IF(D36&lt;=600,(0.00000122*(D36^2))-(0.00187*D36)+0.702,IF(D36&lt;800,0,"valor del indicador fuera del rango"))))</f>
        <v>0.019200000000000106</v>
      </c>
      <c r="E37" s="45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>((0.0000023*((A39)^2))-(0.00305*(A39))+1)</f>
        <v>1</v>
      </c>
      <c r="C39" s="47"/>
      <c r="D39" s="47"/>
      <c r="E39" s="48"/>
    </row>
    <row r="40" spans="1:5" ht="12.95" customHeight="1">
      <c r="A40" s="29">
        <f>+A39+40</f>
        <v>40</v>
      </c>
      <c r="B40" s="24">
        <f aca="true" t="shared" si="2" ref="B40:B49">((0.0000023*((A40)^2))-(0.00305*(A40))+1)</f>
        <v>0.88168</v>
      </c>
      <c r="C40" s="25"/>
      <c r="D40" s="47"/>
      <c r="E40" s="48"/>
    </row>
    <row r="41" spans="1:5" ht="12.95" customHeight="1">
      <c r="A41" s="29">
        <f aca="true" t="shared" si="3" ref="A41:A54">+A40+40</f>
        <v>80</v>
      </c>
      <c r="B41" s="24">
        <f t="shared" si="2"/>
        <v>0.77072</v>
      </c>
      <c r="C41" s="25"/>
      <c r="D41" s="47"/>
      <c r="E41" s="48"/>
    </row>
    <row r="42" spans="1:5" ht="12.95" customHeight="1">
      <c r="A42" s="29">
        <f t="shared" si="3"/>
        <v>120</v>
      </c>
      <c r="B42" s="24">
        <f t="shared" si="2"/>
        <v>0.6671199999999999</v>
      </c>
      <c r="C42" s="25"/>
      <c r="D42" s="47"/>
      <c r="E42" s="48"/>
    </row>
    <row r="43" spans="1:5" ht="12.95" customHeight="1">
      <c r="A43" s="29">
        <f t="shared" si="3"/>
        <v>160</v>
      </c>
      <c r="B43" s="24">
        <f t="shared" si="2"/>
        <v>0.5708799999999999</v>
      </c>
      <c r="C43" s="25"/>
      <c r="D43" s="47"/>
      <c r="E43" s="48"/>
    </row>
    <row r="44" spans="1:5" ht="12.95" customHeight="1">
      <c r="A44" s="29">
        <f t="shared" si="3"/>
        <v>200</v>
      </c>
      <c r="B44" s="24">
        <f t="shared" si="2"/>
        <v>0.482</v>
      </c>
      <c r="C44" s="25"/>
      <c r="D44" s="47"/>
      <c r="E44" s="48"/>
    </row>
    <row r="45" spans="1:5" ht="12.95" customHeight="1">
      <c r="A45" s="29">
        <f t="shared" si="3"/>
        <v>240</v>
      </c>
      <c r="B45" s="24">
        <f t="shared" si="2"/>
        <v>0.40047999999999995</v>
      </c>
      <c r="C45" s="25"/>
      <c r="D45" s="47"/>
      <c r="E45" s="48"/>
    </row>
    <row r="46" spans="1:5" ht="12.95" customHeight="1">
      <c r="A46" s="29">
        <f t="shared" si="3"/>
        <v>280</v>
      </c>
      <c r="B46" s="24">
        <f t="shared" si="2"/>
        <v>0.32631999999999994</v>
      </c>
      <c r="C46" s="25"/>
      <c r="D46" s="47"/>
      <c r="E46" s="48"/>
    </row>
    <row r="47" spans="1:5" ht="12.95" customHeight="1">
      <c r="A47" s="29">
        <f t="shared" si="3"/>
        <v>320</v>
      </c>
      <c r="B47" s="24">
        <f t="shared" si="2"/>
        <v>0.25952</v>
      </c>
      <c r="C47" s="25"/>
      <c r="D47" s="47"/>
      <c r="E47" s="48"/>
    </row>
    <row r="48" spans="1:5" ht="12.95" customHeight="1">
      <c r="A48" s="29">
        <f t="shared" si="3"/>
        <v>360</v>
      </c>
      <c r="B48" s="24">
        <f t="shared" si="2"/>
        <v>0.20007999999999992</v>
      </c>
      <c r="C48" s="25"/>
      <c r="D48" s="47"/>
      <c r="E48" s="48"/>
    </row>
    <row r="49" spans="1:5" ht="12.95" customHeight="1">
      <c r="A49" s="29">
        <f t="shared" si="3"/>
        <v>400</v>
      </c>
      <c r="B49" s="24">
        <f t="shared" si="2"/>
        <v>0.14800000000000002</v>
      </c>
      <c r="C49" s="25"/>
      <c r="D49" s="47"/>
      <c r="E49" s="48"/>
    </row>
    <row r="50" spans="1:5" ht="12.95" customHeight="1">
      <c r="A50" s="30">
        <f t="shared" si="3"/>
        <v>440</v>
      </c>
      <c r="B50" s="26">
        <f>(0.00000122*(A50^2))-(0.00187*A50)+0.702</f>
        <v>0.11539199999999994</v>
      </c>
      <c r="C50" s="25"/>
      <c r="D50" s="47"/>
      <c r="E50" s="48"/>
    </row>
    <row r="51" spans="1:5" ht="12.95" customHeight="1">
      <c r="A51" s="30">
        <f t="shared" si="3"/>
        <v>480</v>
      </c>
      <c r="B51" s="26">
        <f>(0.00000122*(A51^2))-(0.00187*A51)+0.702</f>
        <v>0.08548800000000001</v>
      </c>
      <c r="C51" s="25"/>
      <c r="D51" s="47"/>
      <c r="E51" s="48"/>
    </row>
    <row r="52" spans="1:5" ht="12.95" customHeight="1">
      <c r="A52" s="30">
        <f t="shared" si="3"/>
        <v>520</v>
      </c>
      <c r="B52" s="26">
        <f>(0.00000122*(A52^2))-(0.00187*A52)+0.702</f>
        <v>0.059487999999999985</v>
      </c>
      <c r="C52" s="25"/>
      <c r="D52" s="47"/>
      <c r="E52" s="48"/>
    </row>
    <row r="53" spans="1:5" ht="12.95" customHeight="1">
      <c r="A53" s="30">
        <f t="shared" si="3"/>
        <v>560</v>
      </c>
      <c r="B53" s="26">
        <f>(0.00000122*(A53^2))-(0.00187*A53)+0.702</f>
        <v>0.03739200000000009</v>
      </c>
      <c r="C53" s="25"/>
      <c r="D53" s="47"/>
      <c r="E53" s="48"/>
    </row>
    <row r="54" spans="1:5" ht="12.95" customHeight="1">
      <c r="A54" s="30">
        <f t="shared" si="3"/>
        <v>600</v>
      </c>
      <c r="B54" s="26">
        <f>(0.00000122*(A54^2))-(0.00187*A54)+0.702</f>
        <v>0.019200000000000106</v>
      </c>
      <c r="C54" s="25"/>
      <c r="D54" s="47"/>
      <c r="E54" s="48"/>
    </row>
    <row r="55" spans="1:5" ht="12.95" customHeight="1">
      <c r="A55" s="31">
        <v>640</v>
      </c>
      <c r="B55" s="27">
        <v>0</v>
      </c>
      <c r="C55" s="25"/>
      <c r="D55" s="47"/>
      <c r="E55" s="48"/>
    </row>
    <row r="56" spans="1:5" ht="12.95" customHeight="1">
      <c r="A56" s="31">
        <f>+A55+20</f>
        <v>660</v>
      </c>
      <c r="B56" s="27">
        <v>0</v>
      </c>
      <c r="C56" s="25"/>
      <c r="D56" s="47"/>
      <c r="E56" s="48"/>
    </row>
    <row r="57" spans="1:5" ht="12.95" customHeight="1">
      <c r="A57" s="31">
        <f aca="true" t="shared" si="4" ref="A57:A63">+A56+20</f>
        <v>680</v>
      </c>
      <c r="B57" s="27">
        <v>0</v>
      </c>
      <c r="C57" s="25"/>
      <c r="D57" s="47"/>
      <c r="E57" s="48"/>
    </row>
    <row r="58" spans="1:5" ht="12.95" customHeight="1">
      <c r="A58" s="31">
        <f t="shared" si="4"/>
        <v>700</v>
      </c>
      <c r="B58" s="27">
        <v>0</v>
      </c>
      <c r="C58" s="25"/>
      <c r="D58" s="47"/>
      <c r="E58" s="48"/>
    </row>
    <row r="59" spans="1:5" ht="12.95" customHeight="1">
      <c r="A59" s="31">
        <f t="shared" si="4"/>
        <v>720</v>
      </c>
      <c r="B59" s="27">
        <v>0</v>
      </c>
      <c r="C59" s="25"/>
      <c r="D59" s="47"/>
      <c r="E59" s="48"/>
    </row>
    <row r="60" spans="1:5" ht="12.95" customHeight="1">
      <c r="A60" s="31">
        <f t="shared" si="4"/>
        <v>740</v>
      </c>
      <c r="B60" s="27">
        <v>0</v>
      </c>
      <c r="C60" s="25"/>
      <c r="D60" s="47"/>
      <c r="E60" s="48"/>
    </row>
    <row r="61" spans="1:5" ht="12.95" customHeight="1">
      <c r="A61" s="31">
        <f t="shared" si="4"/>
        <v>760</v>
      </c>
      <c r="B61" s="27">
        <v>0</v>
      </c>
      <c r="C61" s="25"/>
      <c r="D61" s="47"/>
      <c r="E61" s="48"/>
    </row>
    <row r="62" spans="1:5" ht="12.95" customHeight="1">
      <c r="A62" s="31">
        <f t="shared" si="4"/>
        <v>780</v>
      </c>
      <c r="B62" s="27">
        <v>0</v>
      </c>
      <c r="C62" s="25"/>
      <c r="D62" s="47"/>
      <c r="E62" s="48"/>
    </row>
    <row r="63" spans="1:5" ht="12.95" customHeight="1" thickBot="1">
      <c r="A63" s="51">
        <f t="shared" si="4"/>
        <v>800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s="38" customFormat="1" ht="30" customHeight="1" thickTop="1">
      <c r="A66" s="8" t="s">
        <v>12</v>
      </c>
      <c r="B66" s="32">
        <v>14</v>
      </c>
      <c r="C66" s="10" t="s">
        <v>10</v>
      </c>
      <c r="D66" s="33" t="s">
        <v>49</v>
      </c>
      <c r="E66" s="34" t="s">
        <v>44</v>
      </c>
    </row>
    <row r="67" spans="1:5" s="38" customFormat="1" ht="30" customHeight="1">
      <c r="A67" s="13" t="s">
        <v>7</v>
      </c>
      <c r="B67" s="35" t="s">
        <v>175</v>
      </c>
      <c r="C67" s="39"/>
      <c r="D67" s="36" t="s">
        <v>80</v>
      </c>
      <c r="E67" s="40" t="s">
        <v>45</v>
      </c>
    </row>
    <row r="68" spans="1:5" s="38" customFormat="1" ht="30" customHeight="1">
      <c r="A68" s="13" t="s">
        <v>15</v>
      </c>
      <c r="B68" s="35"/>
      <c r="C68" s="39"/>
      <c r="D68" s="36" t="s">
        <v>5</v>
      </c>
      <c r="E68" s="40" t="s">
        <v>46</v>
      </c>
    </row>
    <row r="69" spans="1:5" s="38" customFormat="1" ht="30" customHeight="1" thickBot="1">
      <c r="A69" s="13" t="s">
        <v>8</v>
      </c>
      <c r="B69" s="17" t="s">
        <v>93</v>
      </c>
      <c r="C69" s="41"/>
      <c r="D69" s="42"/>
      <c r="E69" s="43"/>
    </row>
    <row r="70" spans="1:5" s="38" customFormat="1" ht="30" customHeight="1">
      <c r="A70" s="13" t="s">
        <v>9</v>
      </c>
      <c r="B70" s="35" t="s">
        <v>87</v>
      </c>
      <c r="C70" s="4" t="s">
        <v>11</v>
      </c>
      <c r="D70" s="6">
        <v>500</v>
      </c>
      <c r="E70" s="44"/>
    </row>
    <row r="71" spans="1:5" s="38" customFormat="1" ht="30" customHeight="1" thickBot="1">
      <c r="A71" s="14" t="s">
        <v>16</v>
      </c>
      <c r="B71" s="37" t="s">
        <v>17</v>
      </c>
      <c r="C71" s="5" t="s">
        <v>0</v>
      </c>
      <c r="D71" s="7">
        <f>IF(D70&lt;0,"valor del indicador fuera de rango",IF(D70&lt;=400,-0.0000023*(D70^2)-(0.00305*D70)+1,IF(D70&lt;=600,(0.00000122*(D70^2))-(0.00187*D70)+1.702,IF(D70&lt;800,0,"valor del indicador fuera del rango"))))</f>
        <v>1.072</v>
      </c>
      <c r="E71" s="45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>((0.0000023*((A73)^2))-(0.00305*(A73))+1)</f>
        <v>1</v>
      </c>
      <c r="C73" s="47"/>
      <c r="D73" s="47"/>
      <c r="E73" s="48"/>
    </row>
    <row r="74" spans="1:5" ht="12.95" customHeight="1">
      <c r="A74" s="29">
        <f>+A73+40</f>
        <v>40</v>
      </c>
      <c r="B74" s="24">
        <f aca="true" t="shared" si="5" ref="B74:B83">((0.0000023*((A74)^2))-(0.00305*(A74))+1)</f>
        <v>0.88168</v>
      </c>
      <c r="C74" s="25"/>
      <c r="D74" s="47"/>
      <c r="E74" s="48"/>
    </row>
    <row r="75" spans="1:5" ht="12.95" customHeight="1">
      <c r="A75" s="29">
        <f aca="true" t="shared" si="6" ref="A75:A88">+A74+40</f>
        <v>80</v>
      </c>
      <c r="B75" s="24">
        <f t="shared" si="5"/>
        <v>0.77072</v>
      </c>
      <c r="C75" s="25"/>
      <c r="D75" s="47"/>
      <c r="E75" s="48"/>
    </row>
    <row r="76" spans="1:5" ht="12.95" customHeight="1">
      <c r="A76" s="29">
        <f t="shared" si="6"/>
        <v>120</v>
      </c>
      <c r="B76" s="24">
        <f t="shared" si="5"/>
        <v>0.6671199999999999</v>
      </c>
      <c r="C76" s="25"/>
      <c r="D76" s="47"/>
      <c r="E76" s="48"/>
    </row>
    <row r="77" spans="1:5" ht="12.95" customHeight="1">
      <c r="A77" s="29">
        <f t="shared" si="6"/>
        <v>160</v>
      </c>
      <c r="B77" s="24">
        <f t="shared" si="5"/>
        <v>0.5708799999999999</v>
      </c>
      <c r="C77" s="25"/>
      <c r="D77" s="47"/>
      <c r="E77" s="48"/>
    </row>
    <row r="78" spans="1:5" ht="12.95" customHeight="1">
      <c r="A78" s="29">
        <f t="shared" si="6"/>
        <v>200</v>
      </c>
      <c r="B78" s="24">
        <f t="shared" si="5"/>
        <v>0.482</v>
      </c>
      <c r="C78" s="25"/>
      <c r="D78" s="47"/>
      <c r="E78" s="48"/>
    </row>
    <row r="79" spans="1:5" ht="12.95" customHeight="1">
      <c r="A79" s="29">
        <f t="shared" si="6"/>
        <v>240</v>
      </c>
      <c r="B79" s="24">
        <f t="shared" si="5"/>
        <v>0.40047999999999995</v>
      </c>
      <c r="C79" s="25"/>
      <c r="D79" s="47"/>
      <c r="E79" s="48"/>
    </row>
    <row r="80" spans="1:5" ht="12.95" customHeight="1">
      <c r="A80" s="29">
        <f t="shared" si="6"/>
        <v>280</v>
      </c>
      <c r="B80" s="24">
        <f t="shared" si="5"/>
        <v>0.32631999999999994</v>
      </c>
      <c r="C80" s="25"/>
      <c r="D80" s="47"/>
      <c r="E80" s="48"/>
    </row>
    <row r="81" spans="1:5" ht="12.95" customHeight="1">
      <c r="A81" s="29">
        <f t="shared" si="6"/>
        <v>320</v>
      </c>
      <c r="B81" s="24">
        <f t="shared" si="5"/>
        <v>0.25952</v>
      </c>
      <c r="C81" s="25"/>
      <c r="D81" s="47"/>
      <c r="E81" s="48"/>
    </row>
    <row r="82" spans="1:5" ht="12.95" customHeight="1">
      <c r="A82" s="29">
        <f t="shared" si="6"/>
        <v>360</v>
      </c>
      <c r="B82" s="24">
        <f t="shared" si="5"/>
        <v>0.20007999999999992</v>
      </c>
      <c r="C82" s="25"/>
      <c r="D82" s="47"/>
      <c r="E82" s="48"/>
    </row>
    <row r="83" spans="1:5" ht="12.95" customHeight="1">
      <c r="A83" s="29">
        <f t="shared" si="6"/>
        <v>400</v>
      </c>
      <c r="B83" s="24">
        <f t="shared" si="5"/>
        <v>0.14800000000000002</v>
      </c>
      <c r="C83" s="25"/>
      <c r="D83" s="47"/>
      <c r="E83" s="48"/>
    </row>
    <row r="84" spans="1:5" ht="12.95" customHeight="1">
      <c r="A84" s="30">
        <f t="shared" si="6"/>
        <v>440</v>
      </c>
      <c r="B84" s="26">
        <f>(0.00000122*(A84^2))-(0.00187*A84)+0.702</f>
        <v>0.11539199999999994</v>
      </c>
      <c r="C84" s="25"/>
      <c r="D84" s="47"/>
      <c r="E84" s="48"/>
    </row>
    <row r="85" spans="1:5" ht="12.95" customHeight="1">
      <c r="A85" s="30">
        <f t="shared" si="6"/>
        <v>480</v>
      </c>
      <c r="B85" s="26">
        <f>(0.00000122*(A85^2))-(0.00187*A85)+0.702</f>
        <v>0.08548800000000001</v>
      </c>
      <c r="C85" s="25"/>
      <c r="D85" s="47"/>
      <c r="E85" s="48"/>
    </row>
    <row r="86" spans="1:5" ht="12.95" customHeight="1">
      <c r="A86" s="30">
        <f t="shared" si="6"/>
        <v>520</v>
      </c>
      <c r="B86" s="26">
        <f>(0.00000122*(A86^2))-(0.00187*A86)+0.702</f>
        <v>0.059487999999999985</v>
      </c>
      <c r="C86" s="25"/>
      <c r="D86" s="47"/>
      <c r="E86" s="48"/>
    </row>
    <row r="87" spans="1:5" ht="12.95" customHeight="1">
      <c r="A87" s="30">
        <f t="shared" si="6"/>
        <v>560</v>
      </c>
      <c r="B87" s="26">
        <f>(0.00000122*(A87^2))-(0.00187*A87)+0.702</f>
        <v>0.03739200000000009</v>
      </c>
      <c r="C87" s="25"/>
      <c r="D87" s="47"/>
      <c r="E87" s="48"/>
    </row>
    <row r="88" spans="1:5" ht="12.95" customHeight="1">
      <c r="A88" s="30">
        <f t="shared" si="6"/>
        <v>600</v>
      </c>
      <c r="B88" s="26">
        <f>(0.00000122*(A88^2))-(0.00187*A88)+0.702</f>
        <v>0.019200000000000106</v>
      </c>
      <c r="C88" s="25"/>
      <c r="D88" s="47"/>
      <c r="E88" s="48"/>
    </row>
    <row r="89" spans="1:5" ht="12.95" customHeight="1">
      <c r="A89" s="31">
        <v>640</v>
      </c>
      <c r="B89" s="27">
        <v>0</v>
      </c>
      <c r="C89" s="25"/>
      <c r="D89" s="47"/>
      <c r="E89" s="48"/>
    </row>
    <row r="90" spans="1:5" ht="12.95" customHeight="1">
      <c r="A90" s="31">
        <f>+A89+20</f>
        <v>660</v>
      </c>
      <c r="B90" s="27">
        <v>0</v>
      </c>
      <c r="C90" s="25"/>
      <c r="D90" s="47"/>
      <c r="E90" s="48"/>
    </row>
    <row r="91" spans="1:5" ht="12.95" customHeight="1">
      <c r="A91" s="31">
        <f>+A90+20</f>
        <v>680</v>
      </c>
      <c r="B91" s="27">
        <v>0</v>
      </c>
      <c r="C91" s="25"/>
      <c r="D91" s="47"/>
      <c r="E91" s="48"/>
    </row>
    <row r="92" spans="1:5" ht="12.95" customHeight="1">
      <c r="A92" s="31">
        <f>+A91+20</f>
        <v>700</v>
      </c>
      <c r="B92" s="27">
        <v>0</v>
      </c>
      <c r="C92" s="25"/>
      <c r="D92" s="47"/>
      <c r="E92" s="48"/>
    </row>
    <row r="93" spans="1:5" ht="12.95" customHeight="1">
      <c r="A93" s="31">
        <f>+A92+20</f>
        <v>720</v>
      </c>
      <c r="B93" s="27">
        <v>0</v>
      </c>
      <c r="C93" s="25"/>
      <c r="D93" s="47"/>
      <c r="E93" s="48"/>
    </row>
    <row r="94" spans="1:5" ht="12.95" customHeight="1">
      <c r="A94" s="31">
        <v>740</v>
      </c>
      <c r="B94" s="27">
        <v>0</v>
      </c>
      <c r="C94" s="25"/>
      <c r="D94" s="47"/>
      <c r="E94" s="48"/>
    </row>
    <row r="95" spans="1:5" ht="12.95" customHeight="1">
      <c r="A95" s="31">
        <f>+A94+20</f>
        <v>760</v>
      </c>
      <c r="B95" s="27">
        <v>0</v>
      </c>
      <c r="C95" s="25"/>
      <c r="D95" s="47"/>
      <c r="E95" s="48"/>
    </row>
    <row r="96" spans="1:5" ht="12.95" customHeight="1" thickBot="1">
      <c r="A96" s="51">
        <v>800</v>
      </c>
      <c r="B96" s="52">
        <v>0</v>
      </c>
      <c r="C96" s="53"/>
      <c r="D96" s="53"/>
      <c r="E96" s="55"/>
    </row>
    <row r="97" spans="1:2" ht="12.95" customHeight="1" thickTop="1">
      <c r="A97" s="57"/>
      <c r="B97" s="58"/>
    </row>
    <row r="98" ht="12.95" customHeight="1" thickBot="1"/>
    <row r="99" spans="1:5" s="38" customFormat="1" ht="30" customHeight="1" thickTop="1">
      <c r="A99" s="8" t="s">
        <v>12</v>
      </c>
      <c r="B99" s="32">
        <v>15</v>
      </c>
      <c r="C99" s="10" t="s">
        <v>10</v>
      </c>
      <c r="D99" s="33" t="s">
        <v>43</v>
      </c>
      <c r="E99" s="34" t="s">
        <v>23</v>
      </c>
    </row>
    <row r="100" spans="1:5" s="38" customFormat="1" ht="30" customHeight="1">
      <c r="A100" s="13" t="s">
        <v>7</v>
      </c>
      <c r="B100" s="35" t="s">
        <v>81</v>
      </c>
      <c r="C100" s="39"/>
      <c r="D100" s="36"/>
      <c r="E100" s="40"/>
    </row>
    <row r="101" spans="1:5" s="38" customFormat="1" ht="30" customHeight="1">
      <c r="A101" s="13" t="s">
        <v>15</v>
      </c>
      <c r="B101" s="35"/>
      <c r="C101" s="39"/>
      <c r="D101" s="36"/>
      <c r="E101" s="40"/>
    </row>
    <row r="102" spans="1:5" s="38" customFormat="1" ht="30" customHeight="1" thickBot="1">
      <c r="A102" s="13" t="s">
        <v>8</v>
      </c>
      <c r="B102" s="35" t="s">
        <v>47</v>
      </c>
      <c r="C102" s="41"/>
      <c r="D102" s="42"/>
      <c r="E102" s="43"/>
    </row>
    <row r="103" spans="1:5" s="38" customFormat="1" ht="30" customHeight="1">
      <c r="A103" s="13" t="s">
        <v>9</v>
      </c>
      <c r="B103" s="35" t="s">
        <v>86</v>
      </c>
      <c r="C103" s="4" t="s">
        <v>11</v>
      </c>
      <c r="D103" s="6">
        <v>5</v>
      </c>
      <c r="E103" s="44"/>
    </row>
    <row r="104" spans="1:5" s="38" customFormat="1" ht="30" customHeight="1" thickBot="1">
      <c r="A104" s="14" t="s">
        <v>16</v>
      </c>
      <c r="B104" s="37" t="s">
        <v>17</v>
      </c>
      <c r="C104" s="5" t="s">
        <v>0</v>
      </c>
      <c r="D104" s="7">
        <f>IF(D103&lt;0,"valor del indicador fuera de rango",IF(D103&lt;=100,-0.01*(D103)+1,"valor del indicador fuera rango"))</f>
        <v>0.95</v>
      </c>
      <c r="E104" s="45"/>
    </row>
    <row r="105" spans="1:5" ht="30" customHeight="1">
      <c r="A105" s="15" t="s">
        <v>14</v>
      </c>
      <c r="B105" s="3" t="s">
        <v>0</v>
      </c>
      <c r="C105" s="146" t="s">
        <v>13</v>
      </c>
      <c r="D105" s="144"/>
      <c r="E105" s="145"/>
    </row>
    <row r="106" spans="1:5" ht="12.95" customHeight="1">
      <c r="A106" s="28">
        <v>0</v>
      </c>
      <c r="B106" s="24">
        <f>(-0.01*A106)+1</f>
        <v>1</v>
      </c>
      <c r="C106" s="47"/>
      <c r="D106" s="47"/>
      <c r="E106" s="48"/>
    </row>
    <row r="107" spans="1:5" ht="12.95" customHeight="1">
      <c r="A107" s="29">
        <v>5</v>
      </c>
      <c r="B107" s="24">
        <f aca="true" t="shared" si="7" ref="B107:B122">(-0.01*A107)+1</f>
        <v>0.95</v>
      </c>
      <c r="C107" s="25"/>
      <c r="D107" s="47"/>
      <c r="E107" s="48"/>
    </row>
    <row r="108" spans="1:5" ht="12.95" customHeight="1">
      <c r="A108" s="29">
        <v>10</v>
      </c>
      <c r="B108" s="24">
        <f t="shared" si="7"/>
        <v>0.9</v>
      </c>
      <c r="C108" s="25"/>
      <c r="D108" s="47"/>
      <c r="E108" s="48"/>
    </row>
    <row r="109" spans="1:5" ht="12.95" customHeight="1">
      <c r="A109" s="28">
        <v>15</v>
      </c>
      <c r="B109" s="24">
        <f t="shared" si="7"/>
        <v>0.85</v>
      </c>
      <c r="C109" s="25"/>
      <c r="D109" s="47"/>
      <c r="E109" s="48"/>
    </row>
    <row r="110" spans="1:5" ht="12.95" customHeight="1">
      <c r="A110" s="29">
        <v>20</v>
      </c>
      <c r="B110" s="24">
        <f t="shared" si="7"/>
        <v>0.8</v>
      </c>
      <c r="C110" s="25"/>
      <c r="D110" s="47"/>
      <c r="E110" s="48"/>
    </row>
    <row r="111" spans="1:5" ht="12.95" customHeight="1">
      <c r="A111" s="29">
        <v>25</v>
      </c>
      <c r="B111" s="24">
        <f t="shared" si="7"/>
        <v>0.75</v>
      </c>
      <c r="C111" s="25"/>
      <c r="D111" s="47"/>
      <c r="E111" s="48"/>
    </row>
    <row r="112" spans="1:5" ht="12.95" customHeight="1">
      <c r="A112" s="28">
        <v>30</v>
      </c>
      <c r="B112" s="24">
        <f t="shared" si="7"/>
        <v>0.7</v>
      </c>
      <c r="C112" s="25"/>
      <c r="D112" s="47"/>
      <c r="E112" s="48"/>
    </row>
    <row r="113" spans="1:5" ht="12.95" customHeight="1">
      <c r="A113" s="29">
        <v>35</v>
      </c>
      <c r="B113" s="24">
        <f t="shared" si="7"/>
        <v>0.6499999999999999</v>
      </c>
      <c r="C113" s="25"/>
      <c r="D113" s="47"/>
      <c r="E113" s="48"/>
    </row>
    <row r="114" spans="1:5" ht="12.95" customHeight="1">
      <c r="A114" s="29">
        <v>40</v>
      </c>
      <c r="B114" s="24">
        <f t="shared" si="7"/>
        <v>0.6</v>
      </c>
      <c r="C114" s="25"/>
      <c r="D114" s="47"/>
      <c r="E114" s="48"/>
    </row>
    <row r="115" spans="1:5" ht="12.95" customHeight="1">
      <c r="A115" s="28">
        <v>45</v>
      </c>
      <c r="B115" s="24">
        <f t="shared" si="7"/>
        <v>0.55</v>
      </c>
      <c r="C115" s="25"/>
      <c r="D115" s="47"/>
      <c r="E115" s="48"/>
    </row>
    <row r="116" spans="1:5" ht="12.95" customHeight="1">
      <c r="A116" s="29">
        <v>50</v>
      </c>
      <c r="B116" s="24">
        <f t="shared" si="7"/>
        <v>0.5</v>
      </c>
      <c r="C116" s="25"/>
      <c r="D116" s="47"/>
      <c r="E116" s="48"/>
    </row>
    <row r="117" spans="1:5" ht="12.95" customHeight="1">
      <c r="A117" s="29">
        <v>55</v>
      </c>
      <c r="B117" s="24">
        <f t="shared" si="7"/>
        <v>0.44999999999999996</v>
      </c>
      <c r="C117" s="25"/>
      <c r="D117" s="47"/>
      <c r="E117" s="48"/>
    </row>
    <row r="118" spans="1:5" ht="12.95" customHeight="1">
      <c r="A118" s="28">
        <v>60</v>
      </c>
      <c r="B118" s="24">
        <f t="shared" si="7"/>
        <v>0.4</v>
      </c>
      <c r="C118" s="25"/>
      <c r="D118" s="47"/>
      <c r="E118" s="48"/>
    </row>
    <row r="119" spans="1:5" ht="12.95" customHeight="1">
      <c r="A119" s="29">
        <v>70</v>
      </c>
      <c r="B119" s="24">
        <f t="shared" si="7"/>
        <v>0.29999999999999993</v>
      </c>
      <c r="C119" s="25"/>
      <c r="D119" s="47"/>
      <c r="E119" s="48"/>
    </row>
    <row r="120" spans="1:5" ht="12.95" customHeight="1">
      <c r="A120" s="29">
        <v>80</v>
      </c>
      <c r="B120" s="24">
        <f t="shared" si="7"/>
        <v>0.19999999999999996</v>
      </c>
      <c r="C120" s="25"/>
      <c r="D120" s="47"/>
      <c r="E120" s="48"/>
    </row>
    <row r="121" spans="1:5" ht="12.95" customHeight="1">
      <c r="A121" s="28">
        <v>90</v>
      </c>
      <c r="B121" s="24">
        <f t="shared" si="7"/>
        <v>0.09999999999999998</v>
      </c>
      <c r="C121" s="25"/>
      <c r="D121" s="47"/>
      <c r="E121" s="48"/>
    </row>
    <row r="122" spans="1:5" ht="12.95" customHeight="1" thickBot="1">
      <c r="A122" s="56">
        <v>100</v>
      </c>
      <c r="B122" s="59">
        <f t="shared" si="7"/>
        <v>0</v>
      </c>
      <c r="C122" s="53"/>
      <c r="D122" s="49"/>
      <c r="E122" s="50"/>
    </row>
    <row r="123" ht="12.95" customHeight="1" thickTop="1"/>
  </sheetData>
  <mergeCells count="4">
    <mergeCell ref="C105:E105"/>
    <mergeCell ref="C7:E7"/>
    <mergeCell ref="C38:E38"/>
    <mergeCell ref="C72:E7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4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1">
        <v>16</v>
      </c>
      <c r="C1" s="10" t="s">
        <v>10</v>
      </c>
      <c r="D1" s="92" t="s">
        <v>77</v>
      </c>
      <c r="E1" s="93" t="s">
        <v>50</v>
      </c>
    </row>
    <row r="2" spans="1:5" ht="30" customHeight="1">
      <c r="A2" s="13" t="s">
        <v>7</v>
      </c>
      <c r="B2" s="19" t="s">
        <v>176</v>
      </c>
      <c r="C2" s="21"/>
      <c r="D2" s="18" t="s">
        <v>75</v>
      </c>
      <c r="E2" s="94" t="s">
        <v>55</v>
      </c>
    </row>
    <row r="3" spans="1:5" ht="30" customHeight="1">
      <c r="A3" s="13" t="s">
        <v>15</v>
      </c>
      <c r="B3" s="19"/>
      <c r="C3" s="21"/>
      <c r="D3" s="18" t="s">
        <v>76</v>
      </c>
      <c r="E3" s="94" t="s">
        <v>64</v>
      </c>
    </row>
    <row r="4" spans="1:5" ht="30" customHeight="1" thickBot="1">
      <c r="A4" s="13" t="s">
        <v>8</v>
      </c>
      <c r="B4" s="19" t="s">
        <v>73</v>
      </c>
      <c r="C4" s="22"/>
      <c r="D4" s="23"/>
      <c r="E4" s="95"/>
    </row>
    <row r="5" spans="1:5" ht="30" customHeight="1">
      <c r="A5" s="13" t="s">
        <v>9</v>
      </c>
      <c r="B5" s="19" t="s">
        <v>82</v>
      </c>
      <c r="C5" s="4" t="s">
        <v>11</v>
      </c>
      <c r="D5" s="6">
        <v>0.2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rango",IF(D5&lt;=0.2,-11*(D5^2)+(0.2*D5)+1,IF(D5&lt;=0.34,(27*(D5^2))-(18.1*D5)+3.15,IF(D5&lt;0.4,0.1,"valor del indicador fuera rango"))))</f>
        <v>0.6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96">
        <v>0</v>
      </c>
      <c r="B8" s="24">
        <f>(-11*A8^2)+(0.2*A8)+1</f>
        <v>1</v>
      </c>
      <c r="C8" s="47"/>
      <c r="D8" s="47"/>
      <c r="E8" s="48"/>
    </row>
    <row r="9" spans="1:5" ht="12.95" customHeight="1">
      <c r="A9" s="97">
        <f>+A8+0.05</f>
        <v>0.05</v>
      </c>
      <c r="B9" s="24">
        <f>(-11*A9^2)+(0.2*A9)+1</f>
        <v>0.9825</v>
      </c>
      <c r="C9" s="25"/>
      <c r="D9" s="47"/>
      <c r="E9" s="48"/>
    </row>
    <row r="10" spans="1:5" ht="12.95" customHeight="1">
      <c r="A10" s="97">
        <f>+A9+0.05</f>
        <v>0.1</v>
      </c>
      <c r="B10" s="24">
        <f>(-11*A10^2)+(0.2*A10)+1</f>
        <v>0.91</v>
      </c>
      <c r="C10" s="25"/>
      <c r="D10" s="47"/>
      <c r="E10" s="48"/>
    </row>
    <row r="11" spans="1:5" ht="12.95" customHeight="1">
      <c r="A11" s="97">
        <f>+A10+0.05</f>
        <v>0.15000000000000002</v>
      </c>
      <c r="B11" s="24">
        <f>(-11*A11^2)+(0.2*A11)+1</f>
        <v>0.7825</v>
      </c>
      <c r="C11" s="25"/>
      <c r="D11" s="47"/>
      <c r="E11" s="48"/>
    </row>
    <row r="12" spans="1:5" ht="12.95" customHeight="1">
      <c r="A12" s="97">
        <f>+A11+0.05</f>
        <v>0.2</v>
      </c>
      <c r="B12" s="24">
        <f>(-11*A12^2)+(0.2*A12)+1</f>
        <v>0.6</v>
      </c>
      <c r="C12" s="25"/>
      <c r="D12" s="47"/>
      <c r="E12" s="48"/>
    </row>
    <row r="13" spans="1:5" ht="12.95" customHeight="1">
      <c r="A13" s="98">
        <f>+A12+0.025</f>
        <v>0.225</v>
      </c>
      <c r="B13" s="26">
        <f>(27*A13^2)-(18.1*A13)+3.15</f>
        <v>0.4443749999999995</v>
      </c>
      <c r="C13" s="25"/>
      <c r="D13" s="47"/>
      <c r="E13" s="48"/>
    </row>
    <row r="14" spans="1:5" ht="12.95" customHeight="1">
      <c r="A14" s="98">
        <f>+A13+0.025</f>
        <v>0.25</v>
      </c>
      <c r="B14" s="26">
        <f>(27*A14^2)-(18.1*A14)+3.15</f>
        <v>0.31249999999999956</v>
      </c>
      <c r="C14" s="25"/>
      <c r="D14" s="47"/>
      <c r="E14" s="48"/>
    </row>
    <row r="15" spans="1:5" ht="12.95" customHeight="1">
      <c r="A15" s="98">
        <f>+A14+0.025</f>
        <v>0.275</v>
      </c>
      <c r="B15" s="26">
        <f>(27*A15^2)-(18.1*A15)+3.15</f>
        <v>0.2143749999999991</v>
      </c>
      <c r="C15" s="25"/>
      <c r="D15" s="47"/>
      <c r="E15" s="48"/>
    </row>
    <row r="16" spans="1:5" ht="12.95" customHeight="1">
      <c r="A16" s="98">
        <f>+A15+0.025</f>
        <v>0.30000000000000004</v>
      </c>
      <c r="B16" s="26">
        <f>(27*A16^2)-(18.1*A16)+3.15</f>
        <v>0.14999999999999902</v>
      </c>
      <c r="C16" s="25"/>
      <c r="D16" s="47"/>
      <c r="E16" s="48"/>
    </row>
    <row r="17" spans="1:5" ht="12.95" customHeight="1">
      <c r="A17" s="99">
        <v>0.33</v>
      </c>
      <c r="B17" s="26">
        <f>(27*A17^2)-(18.1*A17)+3.15</f>
        <v>0.1172999999999993</v>
      </c>
      <c r="C17" s="25"/>
      <c r="D17" s="47"/>
      <c r="E17" s="48"/>
    </row>
    <row r="18" spans="1:5" ht="12.95" customHeight="1">
      <c r="A18" s="100">
        <v>0.34</v>
      </c>
      <c r="B18" s="27">
        <v>0.1</v>
      </c>
      <c r="C18" s="25"/>
      <c r="D18" s="47"/>
      <c r="E18" s="48"/>
    </row>
    <row r="19" spans="1:5" ht="12.95" customHeight="1">
      <c r="A19" s="101">
        <v>0.35</v>
      </c>
      <c r="B19" s="27">
        <v>0.1</v>
      </c>
      <c r="C19" s="25"/>
      <c r="D19" s="47"/>
      <c r="E19" s="48"/>
    </row>
    <row r="20" spans="1:5" ht="12.95" customHeight="1">
      <c r="A20" s="100">
        <v>0.36</v>
      </c>
      <c r="B20" s="27">
        <v>0.1</v>
      </c>
      <c r="C20" s="25"/>
      <c r="D20" s="47"/>
      <c r="E20" s="48"/>
    </row>
    <row r="21" spans="1:5" ht="12.95" customHeight="1">
      <c r="A21" s="101">
        <v>0.37</v>
      </c>
      <c r="B21" s="27">
        <v>0.1</v>
      </c>
      <c r="C21" s="25"/>
      <c r="D21" s="47"/>
      <c r="E21" s="48"/>
    </row>
    <row r="22" spans="1:5" ht="12.95" customHeight="1">
      <c r="A22" s="100">
        <v>0.38</v>
      </c>
      <c r="B22" s="27">
        <v>0.1</v>
      </c>
      <c r="C22" s="25"/>
      <c r="D22" s="47"/>
      <c r="E22" s="48"/>
    </row>
    <row r="23" spans="1:5" ht="12.95" customHeight="1">
      <c r="A23" s="101">
        <v>0.39</v>
      </c>
      <c r="B23" s="27">
        <v>0.1</v>
      </c>
      <c r="C23" s="25"/>
      <c r="D23" s="47"/>
      <c r="E23" s="48"/>
    </row>
    <row r="24" spans="1:5" ht="12.95" customHeight="1" thickBot="1">
      <c r="A24" s="102">
        <v>0.4</v>
      </c>
      <c r="B24" s="52">
        <v>0.1</v>
      </c>
      <c r="C24" s="53"/>
      <c r="D24" s="49"/>
      <c r="E24" s="50"/>
    </row>
    <row r="25" spans="2:5" ht="12.95" customHeight="1" thickTop="1">
      <c r="B25" s="47"/>
      <c r="C25" s="47"/>
      <c r="D25" s="47"/>
      <c r="E25" s="47"/>
    </row>
    <row r="26" spans="2:5" ht="12.95" customHeight="1">
      <c r="B26" s="47"/>
      <c r="C26" s="47"/>
      <c r="D26" s="47"/>
      <c r="E26" s="47"/>
    </row>
  </sheetData>
  <mergeCells count="1">
    <mergeCell ref="C7:E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F202"/>
  <sheetViews>
    <sheetView zoomScale="75" zoomScaleNormal="75" workbookViewId="0" topLeftCell="A1">
      <selection activeCell="C215" sqref="C215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1">
        <v>17</v>
      </c>
      <c r="C1" s="10" t="s">
        <v>10</v>
      </c>
      <c r="D1" s="92" t="s">
        <v>51</v>
      </c>
      <c r="E1" s="93" t="s">
        <v>52</v>
      </c>
    </row>
    <row r="2" spans="1:5" ht="30" customHeight="1">
      <c r="A2" s="13" t="s">
        <v>7</v>
      </c>
      <c r="B2" s="19" t="s">
        <v>177</v>
      </c>
      <c r="C2" s="21"/>
      <c r="D2" s="18" t="s">
        <v>56</v>
      </c>
      <c r="E2" s="94" t="s">
        <v>57</v>
      </c>
    </row>
    <row r="3" spans="1:5" ht="30" customHeight="1">
      <c r="A3" s="13" t="s">
        <v>15</v>
      </c>
      <c r="B3" s="19"/>
      <c r="C3" s="21"/>
      <c r="D3" s="18" t="s">
        <v>65</v>
      </c>
      <c r="E3" s="94" t="s">
        <v>66</v>
      </c>
    </row>
    <row r="4" spans="1:5" ht="30" customHeight="1" thickBot="1">
      <c r="A4" s="13" t="s">
        <v>8</v>
      </c>
      <c r="B4" s="19" t="s">
        <v>74</v>
      </c>
      <c r="C4" s="22"/>
      <c r="D4" s="23"/>
      <c r="E4" s="95"/>
    </row>
    <row r="5" spans="1:5" ht="30" customHeight="1">
      <c r="A5" s="13" t="s">
        <v>9</v>
      </c>
      <c r="B5" s="19" t="s">
        <v>83</v>
      </c>
      <c r="C5" s="4" t="s">
        <v>11</v>
      </c>
      <c r="D5" s="6">
        <v>52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fuera de rango",IF(D5&lt;=30,1,IF(D5&lt;=45,-0.00222*(D5^2)+(0.133*D5)-1,IF(D5&lt;=56,0.00222*(D5^2)-(0.267*D5)+8,"valor fuera de rango"))))</f>
        <v>0.11887999999999987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v>1</v>
      </c>
      <c r="C8" s="47"/>
      <c r="D8" s="47"/>
      <c r="E8" s="48"/>
    </row>
    <row r="9" spans="1:5" ht="12.95" customHeight="1">
      <c r="A9" s="29">
        <v>10</v>
      </c>
      <c r="B9" s="24">
        <v>1</v>
      </c>
      <c r="C9" s="25"/>
      <c r="D9" s="47"/>
      <c r="E9" s="48"/>
    </row>
    <row r="10" spans="1:5" ht="12.95" customHeight="1">
      <c r="A10" s="29">
        <v>20</v>
      </c>
      <c r="B10" s="24">
        <v>1</v>
      </c>
      <c r="C10" s="25"/>
      <c r="D10" s="47"/>
      <c r="E10" s="48"/>
    </row>
    <row r="11" spans="1:5" ht="12.95" customHeight="1">
      <c r="A11" s="28">
        <v>30</v>
      </c>
      <c r="B11" s="24">
        <v>1</v>
      </c>
      <c r="C11" s="25"/>
      <c r="D11" s="47"/>
      <c r="E11" s="48"/>
    </row>
    <row r="12" spans="1:5" ht="12.95" customHeight="1">
      <c r="A12" s="28">
        <v>30</v>
      </c>
      <c r="B12" s="24">
        <f aca="true" t="shared" si="0" ref="B12:B20">(-0.00222*A12^2)+(0.133*A12)-1</f>
        <v>0.992</v>
      </c>
      <c r="C12" s="25"/>
      <c r="D12" s="47"/>
      <c r="E12" s="48"/>
    </row>
    <row r="13" spans="1:5" ht="12.95" customHeight="1">
      <c r="A13" s="30">
        <v>31</v>
      </c>
      <c r="B13" s="26">
        <f t="shared" si="0"/>
        <v>0.9895800000000001</v>
      </c>
      <c r="C13" s="25"/>
      <c r="D13" s="47"/>
      <c r="E13" s="48"/>
    </row>
    <row r="14" spans="1:5" ht="12.95" customHeight="1">
      <c r="A14" s="30">
        <v>33</v>
      </c>
      <c r="B14" s="26">
        <f t="shared" si="0"/>
        <v>0.9714200000000002</v>
      </c>
      <c r="C14" s="25"/>
      <c r="D14" s="47"/>
      <c r="E14" s="48"/>
    </row>
    <row r="15" spans="1:5" ht="12.95" customHeight="1">
      <c r="A15" s="67">
        <v>35</v>
      </c>
      <c r="B15" s="26">
        <f t="shared" si="0"/>
        <v>0.9355000000000002</v>
      </c>
      <c r="C15" s="25"/>
      <c r="D15" s="47"/>
      <c r="E15" s="48"/>
    </row>
    <row r="16" spans="1:5" ht="12.95" customHeight="1">
      <c r="A16" s="30">
        <v>39</v>
      </c>
      <c r="B16" s="26">
        <f t="shared" si="0"/>
        <v>0.8103799999999999</v>
      </c>
      <c r="C16" s="25"/>
      <c r="D16" s="47"/>
      <c r="E16" s="48"/>
    </row>
    <row r="17" spans="1:5" ht="12.95" customHeight="1">
      <c r="A17" s="30">
        <v>41</v>
      </c>
      <c r="B17" s="26">
        <f t="shared" si="0"/>
        <v>0.7211799999999999</v>
      </c>
      <c r="C17" s="25"/>
      <c r="D17" s="47"/>
      <c r="E17" s="48"/>
    </row>
    <row r="18" spans="1:5" ht="12.95" customHeight="1">
      <c r="A18" s="67">
        <v>43</v>
      </c>
      <c r="B18" s="26">
        <f t="shared" si="0"/>
        <v>0.6142199999999995</v>
      </c>
      <c r="C18" s="25"/>
      <c r="D18" s="47"/>
      <c r="E18" s="48"/>
    </row>
    <row r="19" spans="1:5" ht="12.95" customHeight="1">
      <c r="A19" s="30">
        <v>44</v>
      </c>
      <c r="B19" s="26">
        <f t="shared" si="0"/>
        <v>0.5540799999999999</v>
      </c>
      <c r="C19" s="25"/>
      <c r="D19" s="47"/>
      <c r="E19" s="48"/>
    </row>
    <row r="20" spans="1:5" ht="12.95" customHeight="1">
      <c r="A20" s="30">
        <v>45</v>
      </c>
      <c r="B20" s="26">
        <f t="shared" si="0"/>
        <v>0.4894999999999996</v>
      </c>
      <c r="C20" s="25"/>
      <c r="D20" s="47"/>
      <c r="E20" s="48"/>
    </row>
    <row r="21" spans="1:5" ht="12.95" customHeight="1">
      <c r="A21" s="31">
        <v>46</v>
      </c>
      <c r="B21" s="27">
        <f aca="true" t="shared" si="1" ref="B21:B27">(0.00222*A21^2)-(0.267*A21)+8</f>
        <v>0.4155200000000008</v>
      </c>
      <c r="C21" s="25"/>
      <c r="D21" s="47"/>
      <c r="E21" s="48"/>
    </row>
    <row r="22" spans="1:5" ht="12.95" customHeight="1">
      <c r="A22" s="103">
        <v>48</v>
      </c>
      <c r="B22" s="27">
        <f t="shared" si="1"/>
        <v>0.2988799999999996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0.1999999999999993</v>
      </c>
      <c r="C23" s="25"/>
      <c r="D23" s="47"/>
      <c r="E23" s="48"/>
    </row>
    <row r="24" spans="1:5" ht="12.95" customHeight="1">
      <c r="A24" s="31">
        <v>52</v>
      </c>
      <c r="B24" s="27">
        <f t="shared" si="1"/>
        <v>0.11887999999999987</v>
      </c>
      <c r="C24" s="25"/>
      <c r="D24" s="47"/>
      <c r="E24" s="48"/>
    </row>
    <row r="25" spans="1:5" ht="12.95" customHeight="1">
      <c r="A25" s="103">
        <v>53</v>
      </c>
      <c r="B25" s="27">
        <f t="shared" si="1"/>
        <v>0.08497999999999895</v>
      </c>
      <c r="C25" s="25"/>
      <c r="D25" s="47"/>
      <c r="E25" s="48"/>
    </row>
    <row r="26" spans="1:5" ht="12.95" customHeight="1" thickBot="1">
      <c r="A26" s="31">
        <v>54</v>
      </c>
      <c r="B26" s="86">
        <f t="shared" si="1"/>
        <v>0.05551999999999957</v>
      </c>
      <c r="C26" s="53"/>
      <c r="D26" s="49"/>
      <c r="E26" s="50"/>
    </row>
    <row r="27" spans="1:5" ht="12.95" customHeight="1" thickBot="1" thickTop="1">
      <c r="A27" s="51">
        <v>56</v>
      </c>
      <c r="B27" s="107">
        <f t="shared" si="1"/>
        <v>0.009919999999999263</v>
      </c>
      <c r="C27" s="49"/>
      <c r="D27" s="49"/>
      <c r="E27" s="50"/>
    </row>
    <row r="28" ht="12.95" customHeight="1" thickBot="1" thickTop="1"/>
    <row r="29" spans="1:5" ht="30" customHeight="1" thickTop="1">
      <c r="A29" s="8" t="s">
        <v>12</v>
      </c>
      <c r="B29" s="91">
        <v>18</v>
      </c>
      <c r="C29" s="10" t="s">
        <v>10</v>
      </c>
      <c r="D29" s="92" t="s">
        <v>51</v>
      </c>
      <c r="E29" s="93" t="s">
        <v>53</v>
      </c>
    </row>
    <row r="30" spans="1:5" ht="30" customHeight="1">
      <c r="A30" s="13" t="s">
        <v>7</v>
      </c>
      <c r="B30" s="19" t="s">
        <v>178</v>
      </c>
      <c r="C30" s="21"/>
      <c r="D30" s="18" t="s">
        <v>58</v>
      </c>
      <c r="E30" s="94" t="s">
        <v>59</v>
      </c>
    </row>
    <row r="31" spans="1:5" ht="30" customHeight="1">
      <c r="A31" s="13" t="s">
        <v>15</v>
      </c>
      <c r="B31" s="19"/>
      <c r="C31" s="21"/>
      <c r="D31" s="18" t="s">
        <v>67</v>
      </c>
      <c r="E31" s="94" t="s">
        <v>68</v>
      </c>
    </row>
    <row r="32" spans="1:5" ht="30" customHeight="1" thickBot="1">
      <c r="A32" s="13" t="s">
        <v>8</v>
      </c>
      <c r="B32" s="19" t="s">
        <v>74</v>
      </c>
      <c r="C32" s="22"/>
      <c r="D32" s="23"/>
      <c r="E32" s="95"/>
    </row>
    <row r="33" spans="1:5" ht="30" customHeight="1">
      <c r="A33" s="13" t="s">
        <v>9</v>
      </c>
      <c r="B33" s="19" t="s">
        <v>84</v>
      </c>
      <c r="C33" s="4" t="s">
        <v>11</v>
      </c>
      <c r="D33" s="6">
        <v>65</v>
      </c>
      <c r="E33" s="120"/>
    </row>
    <row r="34" spans="1:5" ht="30" customHeight="1" thickBot="1">
      <c r="A34" s="14" t="s">
        <v>16</v>
      </c>
      <c r="B34" s="20" t="s">
        <v>17</v>
      </c>
      <c r="C34" s="5" t="s">
        <v>0</v>
      </c>
      <c r="D34" s="7">
        <f>IF(D33&lt;0,"valor del indicador fuera de rango",IF(D33&lt;=35,1,IF(D33&lt;=52.5,-0.00163*(D33^2)+(0.114*D33)-1,IF(D33&lt;=65,0.00163*(D33^2)-(0.229*D33)+8,"valor del indicador fuera rango"))))</f>
        <v>0.0017500000000003624</v>
      </c>
      <c r="E34" s="121"/>
    </row>
    <row r="35" spans="1:5" ht="30" customHeight="1">
      <c r="A35" s="15" t="s">
        <v>14</v>
      </c>
      <c r="B35" s="3" t="s">
        <v>0</v>
      </c>
      <c r="C35" s="146" t="s">
        <v>13</v>
      </c>
      <c r="D35" s="144"/>
      <c r="E35" s="145"/>
    </row>
    <row r="36" spans="1:5" ht="12.95" customHeight="1">
      <c r="A36" s="28">
        <v>0</v>
      </c>
      <c r="B36" s="24">
        <v>1</v>
      </c>
      <c r="C36" s="47"/>
      <c r="D36" s="47"/>
      <c r="E36" s="48"/>
    </row>
    <row r="37" spans="1:5" ht="12.95" customHeight="1">
      <c r="A37" s="29">
        <v>10</v>
      </c>
      <c r="B37" s="24">
        <v>1</v>
      </c>
      <c r="C37" s="25"/>
      <c r="D37" s="47"/>
      <c r="E37" s="48"/>
    </row>
    <row r="38" spans="1:5" ht="12.95" customHeight="1">
      <c r="A38" s="28">
        <v>20</v>
      </c>
      <c r="B38" s="24">
        <v>1</v>
      </c>
      <c r="C38" s="25"/>
      <c r="D38" s="47"/>
      <c r="E38" s="48"/>
    </row>
    <row r="39" spans="1:5" ht="12.95" customHeight="1">
      <c r="A39" s="29">
        <v>30</v>
      </c>
      <c r="B39" s="24">
        <v>1</v>
      </c>
      <c r="C39" s="25"/>
      <c r="D39" s="47"/>
      <c r="E39" s="48"/>
    </row>
    <row r="40" spans="1:5" ht="12.95" customHeight="1">
      <c r="A40" s="28">
        <v>35</v>
      </c>
      <c r="B40" s="24">
        <v>1</v>
      </c>
      <c r="C40" s="25"/>
      <c r="D40" s="47"/>
      <c r="E40" s="48"/>
    </row>
    <row r="41" spans="1:5" ht="12.95" customHeight="1">
      <c r="A41" s="30">
        <v>35</v>
      </c>
      <c r="B41" s="26">
        <f aca="true" t="shared" si="2" ref="B41:B48">(-0.00163*A41^2)+(0.114*A41)-1</f>
        <v>0.9932500000000002</v>
      </c>
      <c r="C41" s="25"/>
      <c r="D41" s="47"/>
      <c r="E41" s="48"/>
    </row>
    <row r="42" spans="1:5" ht="12.95" customHeight="1">
      <c r="A42" s="30">
        <v>37</v>
      </c>
      <c r="B42" s="26">
        <f t="shared" si="2"/>
        <v>0.9865300000000001</v>
      </c>
      <c r="C42" s="25"/>
      <c r="D42" s="47"/>
      <c r="E42" s="48"/>
    </row>
    <row r="43" spans="1:5" ht="12.95" customHeight="1">
      <c r="A43" s="30">
        <v>40</v>
      </c>
      <c r="B43" s="26">
        <f t="shared" si="2"/>
        <v>0.9520000000000004</v>
      </c>
      <c r="C43" s="25"/>
      <c r="D43" s="47"/>
      <c r="E43" s="48"/>
    </row>
    <row r="44" spans="1:5" ht="12.95" customHeight="1">
      <c r="A44" s="30">
        <v>43</v>
      </c>
      <c r="B44" s="26">
        <f t="shared" si="2"/>
        <v>0.8881300000000003</v>
      </c>
      <c r="C44" s="25"/>
      <c r="D44" s="47"/>
      <c r="E44" s="48"/>
    </row>
    <row r="45" spans="1:5" ht="12.95" customHeight="1">
      <c r="A45" s="30">
        <v>45</v>
      </c>
      <c r="B45" s="26">
        <f t="shared" si="2"/>
        <v>0.82925</v>
      </c>
      <c r="C45" s="25"/>
      <c r="D45" s="47"/>
      <c r="E45" s="48"/>
    </row>
    <row r="46" spans="1:5" ht="12.95" customHeight="1">
      <c r="A46" s="30">
        <v>48</v>
      </c>
      <c r="B46" s="26">
        <f t="shared" si="2"/>
        <v>0.7164800000000007</v>
      </c>
      <c r="C46" s="25"/>
      <c r="D46" s="47"/>
      <c r="E46" s="48"/>
    </row>
    <row r="47" spans="1:5" ht="12.95" customHeight="1">
      <c r="A47" s="30">
        <v>50</v>
      </c>
      <c r="B47" s="26">
        <f t="shared" si="2"/>
        <v>0.625</v>
      </c>
      <c r="C47" s="25"/>
      <c r="D47" s="47"/>
      <c r="E47" s="48"/>
    </row>
    <row r="48" spans="1:5" ht="12.95" customHeight="1">
      <c r="A48" s="30">
        <v>52</v>
      </c>
      <c r="B48" s="26">
        <f t="shared" si="2"/>
        <v>0.52048</v>
      </c>
      <c r="C48" s="25"/>
      <c r="D48" s="47"/>
      <c r="E48" s="48"/>
    </row>
    <row r="49" spans="1:5" ht="12.95" customHeight="1">
      <c r="A49" s="31">
        <v>53</v>
      </c>
      <c r="B49" s="27">
        <f aca="true" t="shared" si="3" ref="B49:B55">(0.00163*A49^2)-(0.229*A49)+8</f>
        <v>0.44166999999999934</v>
      </c>
      <c r="C49" s="25"/>
      <c r="D49" s="47"/>
      <c r="E49" s="48"/>
    </row>
    <row r="50" spans="1:5" ht="12.95" customHeight="1">
      <c r="A50" s="31">
        <v>57</v>
      </c>
      <c r="B50" s="27">
        <f t="shared" si="3"/>
        <v>0.24286999999999903</v>
      </c>
      <c r="C50" s="25"/>
      <c r="D50" s="47"/>
      <c r="E50" s="48"/>
    </row>
    <row r="51" spans="1:5" ht="12.95" customHeight="1">
      <c r="A51" s="31">
        <v>59</v>
      </c>
      <c r="B51" s="27">
        <f t="shared" si="3"/>
        <v>0.16302999999999912</v>
      </c>
      <c r="C51" s="25"/>
      <c r="D51" s="47"/>
      <c r="E51" s="48"/>
    </row>
    <row r="52" spans="1:5" ht="12.95" customHeight="1">
      <c r="A52" s="31">
        <v>61</v>
      </c>
      <c r="B52" s="27">
        <f t="shared" si="3"/>
        <v>0.09622999999999848</v>
      </c>
      <c r="C52" s="25"/>
      <c r="D52" s="47"/>
      <c r="E52" s="48"/>
    </row>
    <row r="53" spans="1:5" ht="12.95" customHeight="1">
      <c r="A53" s="31">
        <v>63</v>
      </c>
      <c r="B53" s="27">
        <f t="shared" si="3"/>
        <v>0.04246999999999801</v>
      </c>
      <c r="C53" s="25"/>
      <c r="D53" s="47"/>
      <c r="E53" s="48"/>
    </row>
    <row r="54" spans="1:5" ht="12.95" customHeight="1">
      <c r="A54" s="122">
        <v>64</v>
      </c>
      <c r="B54" s="27">
        <f t="shared" si="3"/>
        <v>0.020479999999999166</v>
      </c>
      <c r="C54" s="25"/>
      <c r="D54" s="47"/>
      <c r="E54" s="48"/>
    </row>
    <row r="55" spans="1:5" ht="12.95" customHeight="1" thickBot="1">
      <c r="A55" s="51">
        <v>65</v>
      </c>
      <c r="B55" s="52">
        <f t="shared" si="3"/>
        <v>0.0017500000000003624</v>
      </c>
      <c r="C55" s="53"/>
      <c r="D55" s="49"/>
      <c r="E55" s="50"/>
    </row>
    <row r="56" spans="3:5" ht="12.95" customHeight="1" thickTop="1">
      <c r="C56" s="25"/>
      <c r="D56" s="47"/>
      <c r="E56" s="47"/>
    </row>
    <row r="57" ht="12.95" customHeight="1" thickBot="1"/>
    <row r="58" spans="1:5" ht="30" customHeight="1" thickTop="1">
      <c r="A58" s="8" t="s">
        <v>12</v>
      </c>
      <c r="B58" s="91">
        <v>19</v>
      </c>
      <c r="C58" s="10" t="s">
        <v>10</v>
      </c>
      <c r="D58" s="92" t="s">
        <v>51</v>
      </c>
      <c r="E58" s="93" t="s">
        <v>52</v>
      </c>
    </row>
    <row r="59" spans="1:5" ht="30" customHeight="1">
      <c r="A59" s="13" t="s">
        <v>7</v>
      </c>
      <c r="B59" s="19" t="s">
        <v>179</v>
      </c>
      <c r="C59" s="21"/>
      <c r="D59" s="18" t="s">
        <v>60</v>
      </c>
      <c r="E59" s="94" t="s">
        <v>61</v>
      </c>
    </row>
    <row r="60" spans="1:5" ht="30" customHeight="1">
      <c r="A60" s="13" t="s">
        <v>15</v>
      </c>
      <c r="B60" s="19"/>
      <c r="C60" s="21"/>
      <c r="D60" s="18" t="s">
        <v>69</v>
      </c>
      <c r="E60" s="94" t="s">
        <v>70</v>
      </c>
    </row>
    <row r="61" spans="1:5" ht="30" customHeight="1" thickBot="1">
      <c r="A61" s="13" t="s">
        <v>8</v>
      </c>
      <c r="B61" s="19" t="s">
        <v>74</v>
      </c>
      <c r="C61" s="22"/>
      <c r="D61" s="23"/>
      <c r="E61" s="95"/>
    </row>
    <row r="62" spans="1:5" ht="30" customHeight="1">
      <c r="A62" s="13" t="s">
        <v>9</v>
      </c>
      <c r="B62" s="19" t="s">
        <v>85</v>
      </c>
      <c r="C62" s="4" t="s">
        <v>11</v>
      </c>
      <c r="D62" s="6">
        <v>60</v>
      </c>
      <c r="E62" s="120"/>
    </row>
    <row r="63" spans="1:5" ht="30" customHeight="1" thickBot="1">
      <c r="A63" s="14" t="s">
        <v>16</v>
      </c>
      <c r="B63" s="20" t="s">
        <v>17</v>
      </c>
      <c r="C63" s="5" t="s">
        <v>0</v>
      </c>
      <c r="D63" s="7">
        <f>IF(D62&lt;0,"valor del indicador fuera de rango",IF(D62&lt;=30,1,IF(D62&lt;=55,-0.0008*(D62^2)+(0.048*D62)+0.28,IF(D62&lt;80,0.0008*(D62^2)-(0.128*D62)+5.12,"valor del indicador fuera rango"))))</f>
        <v>0.3200000000000012</v>
      </c>
      <c r="E63" s="121"/>
    </row>
    <row r="64" spans="1:5" ht="30" customHeight="1">
      <c r="A64" s="15" t="s">
        <v>14</v>
      </c>
      <c r="B64" s="3" t="s">
        <v>0</v>
      </c>
      <c r="C64" s="146" t="s">
        <v>13</v>
      </c>
      <c r="D64" s="144"/>
      <c r="E64" s="145"/>
    </row>
    <row r="65" spans="1:5" ht="12.95" customHeight="1">
      <c r="A65" s="28">
        <v>0</v>
      </c>
      <c r="B65" s="24">
        <v>1</v>
      </c>
      <c r="C65" s="47"/>
      <c r="D65" s="47"/>
      <c r="E65" s="48"/>
    </row>
    <row r="66" spans="1:5" ht="12.95" customHeight="1">
      <c r="A66" s="29">
        <v>10</v>
      </c>
      <c r="B66" s="24">
        <v>1</v>
      </c>
      <c r="C66" s="25"/>
      <c r="D66" s="47"/>
      <c r="E66" s="48"/>
    </row>
    <row r="67" spans="1:5" ht="12.95" customHeight="1">
      <c r="A67" s="29">
        <v>20</v>
      </c>
      <c r="B67" s="24">
        <v>1</v>
      </c>
      <c r="C67" s="25"/>
      <c r="D67" s="47"/>
      <c r="E67" s="48"/>
    </row>
    <row r="68" spans="1:5" ht="12.95" customHeight="1">
      <c r="A68" s="28">
        <v>30</v>
      </c>
      <c r="B68" s="24">
        <v>1</v>
      </c>
      <c r="C68" s="25"/>
      <c r="D68" s="47"/>
      <c r="E68" s="48"/>
    </row>
    <row r="69" spans="1:5" ht="12.95" customHeight="1">
      <c r="A69" s="30">
        <v>30</v>
      </c>
      <c r="B69" s="26">
        <f aca="true" t="shared" si="4" ref="B69:B79">(-0.0008*A69^2)+(0.048*A69)+0.28</f>
        <v>0.9999999999999999</v>
      </c>
      <c r="C69" s="25"/>
      <c r="D69" s="47"/>
      <c r="E69" s="48"/>
    </row>
    <row r="70" spans="1:5" ht="12.95" customHeight="1">
      <c r="A70" s="30">
        <v>32</v>
      </c>
      <c r="B70" s="26">
        <f t="shared" si="4"/>
        <v>0.9968</v>
      </c>
      <c r="C70" s="25"/>
      <c r="D70" s="47"/>
      <c r="E70" s="48"/>
    </row>
    <row r="71" spans="1:5" ht="12.95" customHeight="1">
      <c r="A71" s="67">
        <v>34</v>
      </c>
      <c r="B71" s="26">
        <f t="shared" si="4"/>
        <v>0.9872000000000001</v>
      </c>
      <c r="C71" s="25"/>
      <c r="D71" s="47"/>
      <c r="E71" s="48"/>
    </row>
    <row r="72" spans="1:5" ht="12.95" customHeight="1">
      <c r="A72" s="30">
        <v>36</v>
      </c>
      <c r="B72" s="26">
        <f t="shared" si="4"/>
        <v>0.9712000000000001</v>
      </c>
      <c r="C72" s="25"/>
      <c r="D72" s="47"/>
      <c r="E72" s="48"/>
    </row>
    <row r="73" spans="1:5" ht="12.95" customHeight="1">
      <c r="A73" s="30">
        <v>38</v>
      </c>
      <c r="B73" s="26">
        <f t="shared" si="4"/>
        <v>0.9488000000000001</v>
      </c>
      <c r="C73" s="25"/>
      <c r="D73" s="47"/>
      <c r="E73" s="48"/>
    </row>
    <row r="74" spans="1:5" ht="12.95" customHeight="1">
      <c r="A74" s="67">
        <v>40</v>
      </c>
      <c r="B74" s="26">
        <f t="shared" si="4"/>
        <v>0.9199999999999999</v>
      </c>
      <c r="C74" s="25"/>
      <c r="D74" s="47"/>
      <c r="E74" s="48"/>
    </row>
    <row r="75" spans="1:5" ht="12.95" customHeight="1">
      <c r="A75" s="30">
        <v>42</v>
      </c>
      <c r="B75" s="26">
        <f t="shared" si="4"/>
        <v>0.8848</v>
      </c>
      <c r="C75" s="25"/>
      <c r="D75" s="47"/>
      <c r="E75" s="48"/>
    </row>
    <row r="76" spans="1:5" ht="12.95" customHeight="1">
      <c r="A76" s="30">
        <v>44</v>
      </c>
      <c r="B76" s="26">
        <f t="shared" si="4"/>
        <v>0.8432</v>
      </c>
      <c r="C76" s="25"/>
      <c r="D76" s="47"/>
      <c r="E76" s="48"/>
    </row>
    <row r="77" spans="1:5" ht="12.95" customHeight="1">
      <c r="A77" s="67">
        <v>46</v>
      </c>
      <c r="B77" s="26">
        <f t="shared" si="4"/>
        <v>0.7952000000000001</v>
      </c>
      <c r="C77" s="25"/>
      <c r="D77" s="47"/>
      <c r="E77" s="48"/>
    </row>
    <row r="78" spans="1:5" ht="12.95" customHeight="1">
      <c r="A78" s="30">
        <v>48</v>
      </c>
      <c r="B78" s="26">
        <f t="shared" si="4"/>
        <v>0.7408000000000001</v>
      </c>
      <c r="C78" s="25"/>
      <c r="D78" s="47"/>
      <c r="E78" s="48"/>
    </row>
    <row r="79" spans="1:5" ht="12.95" customHeight="1">
      <c r="A79" s="30">
        <v>50</v>
      </c>
      <c r="B79" s="26">
        <f t="shared" si="4"/>
        <v>0.6799999999999999</v>
      </c>
      <c r="C79" s="25"/>
      <c r="D79" s="47"/>
      <c r="E79" s="48"/>
    </row>
    <row r="80" spans="1:5" ht="12.95" customHeight="1">
      <c r="A80" s="103">
        <v>55</v>
      </c>
      <c r="B80" s="27">
        <f>(0.0008*A80^2)-(0.128*A80)+5.12</f>
        <v>0.5</v>
      </c>
      <c r="C80" s="25"/>
      <c r="D80" s="47"/>
      <c r="E80" s="48"/>
    </row>
    <row r="81" spans="1:5" ht="12.95" customHeight="1">
      <c r="A81" s="31">
        <v>60</v>
      </c>
      <c r="B81" s="27">
        <f>(0.0008*A81^2)-(0.128*A81)+5.12</f>
        <v>0.3200000000000012</v>
      </c>
      <c r="C81" s="25"/>
      <c r="D81" s="47"/>
      <c r="E81" s="48"/>
    </row>
    <row r="82" spans="1:5" ht="12.95" customHeight="1">
      <c r="A82" s="31">
        <v>65</v>
      </c>
      <c r="B82" s="27">
        <f>(0.0008*A82^2)-(0.128*A82)+5.12</f>
        <v>0.1800000000000006</v>
      </c>
      <c r="C82" s="25"/>
      <c r="D82" s="47"/>
      <c r="E82" s="48"/>
    </row>
    <row r="83" spans="1:5" ht="12.95" customHeight="1">
      <c r="A83" s="103">
        <v>70</v>
      </c>
      <c r="B83" s="27">
        <f>(0.0008*A83^2)-(0.128*A83)+5.12</f>
        <v>0.07999999999999918</v>
      </c>
      <c r="C83" s="25"/>
      <c r="D83" s="47"/>
      <c r="E83" s="48"/>
    </row>
    <row r="84" spans="1:5" ht="12.95" customHeight="1" thickBot="1">
      <c r="A84" s="51">
        <v>80</v>
      </c>
      <c r="B84" s="52">
        <f>(0.0008*A84^2)-(0.128*A84)+5.12</f>
        <v>0</v>
      </c>
      <c r="C84" s="53"/>
      <c r="D84" s="49"/>
      <c r="E84" s="50"/>
    </row>
    <row r="85" ht="12.95" customHeight="1" thickTop="1"/>
    <row r="86" ht="12.95" customHeight="1" thickBot="1"/>
    <row r="87" spans="1:5" ht="30" customHeight="1" thickTop="1">
      <c r="A87" s="8" t="s">
        <v>12</v>
      </c>
      <c r="B87" s="91">
        <v>20</v>
      </c>
      <c r="C87" s="10" t="s">
        <v>10</v>
      </c>
      <c r="D87" s="92" t="s">
        <v>51</v>
      </c>
      <c r="E87" s="93" t="s">
        <v>54</v>
      </c>
    </row>
    <row r="88" spans="1:5" ht="30" customHeight="1">
      <c r="A88" s="13" t="s">
        <v>7</v>
      </c>
      <c r="B88" s="19" t="s">
        <v>180</v>
      </c>
      <c r="C88" s="21"/>
      <c r="D88" s="18" t="s">
        <v>62</v>
      </c>
      <c r="E88" s="94" t="s">
        <v>63</v>
      </c>
    </row>
    <row r="89" spans="1:5" ht="30" customHeight="1">
      <c r="A89" s="13" t="s">
        <v>15</v>
      </c>
      <c r="B89" s="19"/>
      <c r="C89" s="21"/>
      <c r="D89" s="18" t="s">
        <v>71</v>
      </c>
      <c r="E89" s="94" t="s">
        <v>72</v>
      </c>
    </row>
    <row r="90" spans="1:5" ht="30" customHeight="1" thickBot="1">
      <c r="A90" s="13" t="s">
        <v>8</v>
      </c>
      <c r="B90" s="19" t="s">
        <v>74</v>
      </c>
      <c r="C90" s="22"/>
      <c r="D90" s="23"/>
      <c r="E90" s="95"/>
    </row>
    <row r="91" spans="1:5" ht="30" customHeight="1">
      <c r="A91" s="13" t="s">
        <v>9</v>
      </c>
      <c r="B91" s="19" t="s">
        <v>85</v>
      </c>
      <c r="C91" s="4" t="s">
        <v>11</v>
      </c>
      <c r="D91" s="6">
        <v>50</v>
      </c>
      <c r="E91" s="120"/>
    </row>
    <row r="92" spans="1:5" ht="30" customHeight="1" thickBot="1">
      <c r="A92" s="14" t="s">
        <v>16</v>
      </c>
      <c r="B92" s="20" t="s">
        <v>17</v>
      </c>
      <c r="C92" s="5" t="s">
        <v>0</v>
      </c>
      <c r="D92" s="7">
        <f>IF(D91&lt;0,"valor del indicador fuera de rango",IF(D91&lt;=40,1,IF(D91&lt;=60,-0.00125*(D91^2)+(0.1*D91)-1,IF(D91&lt;80,0.00125*(D91^2)-(0.2*D91)+8,"valor del indicador fuera rango"))))</f>
        <v>0.875</v>
      </c>
      <c r="E92" s="121"/>
    </row>
    <row r="93" spans="1:5" ht="30" customHeight="1">
      <c r="A93" s="15" t="s">
        <v>14</v>
      </c>
      <c r="B93" s="3" t="s">
        <v>0</v>
      </c>
      <c r="C93" s="146" t="s">
        <v>13</v>
      </c>
      <c r="D93" s="144"/>
      <c r="E93" s="145"/>
    </row>
    <row r="94" spans="1:5" ht="12.95" customHeight="1">
      <c r="A94" s="113">
        <v>0</v>
      </c>
      <c r="B94" s="24">
        <v>1</v>
      </c>
      <c r="C94" s="47"/>
      <c r="D94" s="47"/>
      <c r="E94" s="48"/>
    </row>
    <row r="95" spans="1:5" ht="12.95" customHeight="1">
      <c r="A95" s="114">
        <v>10</v>
      </c>
      <c r="B95" s="24">
        <v>1</v>
      </c>
      <c r="C95" s="25"/>
      <c r="D95" s="47"/>
      <c r="E95" s="48"/>
    </row>
    <row r="96" spans="1:5" ht="12.95" customHeight="1">
      <c r="A96" s="114">
        <v>20</v>
      </c>
      <c r="B96" s="24">
        <v>1</v>
      </c>
      <c r="C96" s="25"/>
      <c r="D96" s="47"/>
      <c r="E96" s="48"/>
    </row>
    <row r="97" spans="1:5" ht="12.95" customHeight="1">
      <c r="A97" s="113">
        <v>30</v>
      </c>
      <c r="B97" s="24">
        <v>1</v>
      </c>
      <c r="C97" s="25"/>
      <c r="D97" s="47"/>
      <c r="E97" s="48"/>
    </row>
    <row r="98" spans="1:5" ht="12.95" customHeight="1">
      <c r="A98" s="114">
        <v>40</v>
      </c>
      <c r="B98" s="24">
        <v>1</v>
      </c>
      <c r="C98" s="25"/>
      <c r="D98" s="47"/>
      <c r="E98" s="48"/>
    </row>
    <row r="99" spans="1:5" ht="12.95" customHeight="1">
      <c r="A99" s="115">
        <v>42</v>
      </c>
      <c r="B99" s="26">
        <f aca="true" t="shared" si="5" ref="B99:B105">(-0.00125*A99^2)+(0.1*A99)-1</f>
        <v>0.9950000000000001</v>
      </c>
      <c r="C99" s="25"/>
      <c r="D99" s="47"/>
      <c r="E99" s="48"/>
    </row>
    <row r="100" spans="1:5" ht="12.95" customHeight="1">
      <c r="A100" s="116">
        <v>45</v>
      </c>
      <c r="B100" s="26">
        <f t="shared" si="5"/>
        <v>0.96875</v>
      </c>
      <c r="C100" s="25"/>
      <c r="D100" s="47"/>
      <c r="E100" s="48"/>
    </row>
    <row r="101" spans="1:5" ht="12.95" customHeight="1">
      <c r="A101" s="115">
        <v>48</v>
      </c>
      <c r="B101" s="26">
        <f t="shared" si="5"/>
        <v>0.9200000000000008</v>
      </c>
      <c r="C101" s="25"/>
      <c r="D101" s="47"/>
      <c r="E101" s="48"/>
    </row>
    <row r="102" spans="1:5" ht="12.95" customHeight="1">
      <c r="A102" s="115">
        <v>50</v>
      </c>
      <c r="B102" s="26">
        <f t="shared" si="5"/>
        <v>0.875</v>
      </c>
      <c r="C102" s="25"/>
      <c r="D102" s="47"/>
      <c r="E102" s="48"/>
    </row>
    <row r="103" spans="1:5" ht="12.95" customHeight="1">
      <c r="A103" s="116">
        <v>52</v>
      </c>
      <c r="B103" s="26">
        <f t="shared" si="5"/>
        <v>0.8200000000000003</v>
      </c>
      <c r="C103" s="25"/>
      <c r="D103" s="47"/>
      <c r="E103" s="48"/>
    </row>
    <row r="104" spans="1:5" ht="12.95" customHeight="1">
      <c r="A104" s="115">
        <v>55</v>
      </c>
      <c r="B104" s="26">
        <f t="shared" si="5"/>
        <v>0.71875</v>
      </c>
      <c r="C104" s="25"/>
      <c r="D104" s="47"/>
      <c r="E104" s="48"/>
    </row>
    <row r="105" spans="1:5" ht="12.95" customHeight="1">
      <c r="A105" s="115">
        <v>57</v>
      </c>
      <c r="B105" s="26">
        <f t="shared" si="5"/>
        <v>0.6387499999999999</v>
      </c>
      <c r="C105" s="25"/>
      <c r="D105" s="47"/>
      <c r="E105" s="48"/>
    </row>
    <row r="106" spans="1:5" ht="12.95" customHeight="1">
      <c r="A106" s="116">
        <v>60</v>
      </c>
      <c r="B106" s="26">
        <f aca="true" t="shared" si="6" ref="B106:B113">(0.00125*A106^2)-(0.2*A106)+8</f>
        <v>0.5</v>
      </c>
      <c r="C106" s="25"/>
      <c r="D106" s="47"/>
      <c r="E106" s="48"/>
    </row>
    <row r="107" spans="1:5" ht="12.95" customHeight="1">
      <c r="A107" s="117">
        <v>61</v>
      </c>
      <c r="B107" s="27">
        <f t="shared" si="6"/>
        <v>0.45124999999999904</v>
      </c>
      <c r="C107" s="25"/>
      <c r="D107" s="47"/>
      <c r="E107" s="48"/>
    </row>
    <row r="108" spans="1:5" ht="12.95" customHeight="1">
      <c r="A108" s="117">
        <v>65</v>
      </c>
      <c r="B108" s="27">
        <f t="shared" si="6"/>
        <v>0.28125</v>
      </c>
      <c r="C108" s="25"/>
      <c r="D108" s="47"/>
      <c r="E108" s="48"/>
    </row>
    <row r="109" spans="1:5" ht="12.95" customHeight="1">
      <c r="A109" s="118">
        <v>67</v>
      </c>
      <c r="B109" s="27">
        <f t="shared" si="6"/>
        <v>0.21124999999999972</v>
      </c>
      <c r="C109" s="25"/>
      <c r="D109" s="47"/>
      <c r="E109" s="48"/>
    </row>
    <row r="110" spans="1:5" ht="12.95" customHeight="1">
      <c r="A110" s="117">
        <v>70</v>
      </c>
      <c r="B110" s="27">
        <f t="shared" si="6"/>
        <v>0.125</v>
      </c>
      <c r="C110" s="25"/>
      <c r="D110" s="47"/>
      <c r="E110" s="48"/>
    </row>
    <row r="111" spans="1:5" ht="12.95" customHeight="1">
      <c r="A111" s="117">
        <v>72</v>
      </c>
      <c r="B111" s="27">
        <f t="shared" si="6"/>
        <v>0.08000000000000007</v>
      </c>
      <c r="C111" s="25"/>
      <c r="D111" s="47"/>
      <c r="E111" s="48"/>
    </row>
    <row r="112" spans="1:5" ht="12.95" customHeight="1">
      <c r="A112" s="118">
        <v>75</v>
      </c>
      <c r="B112" s="27">
        <f t="shared" si="6"/>
        <v>0.03125</v>
      </c>
      <c r="C112" s="25"/>
      <c r="D112" s="47"/>
      <c r="E112" s="48"/>
    </row>
    <row r="113" spans="1:5" ht="12.95" customHeight="1" thickBot="1">
      <c r="A113" s="119">
        <v>80</v>
      </c>
      <c r="B113" s="52">
        <f t="shared" si="6"/>
        <v>0</v>
      </c>
      <c r="C113" s="53"/>
      <c r="D113" s="49"/>
      <c r="E113" s="50"/>
    </row>
    <row r="114" ht="12.95" customHeight="1" thickTop="1"/>
    <row r="115" ht="12.95" customHeight="1" thickBot="1"/>
    <row r="116" spans="1:6" ht="30" customHeight="1" thickTop="1">
      <c r="A116" s="8" t="s">
        <v>12</v>
      </c>
      <c r="B116" s="9">
        <v>21</v>
      </c>
      <c r="C116" s="10" t="s">
        <v>10</v>
      </c>
      <c r="D116" s="11" t="s">
        <v>105</v>
      </c>
      <c r="E116" s="12" t="s">
        <v>52</v>
      </c>
      <c r="F116" s="123"/>
    </row>
    <row r="117" spans="1:6" ht="30" customHeight="1">
      <c r="A117" s="13" t="s">
        <v>7</v>
      </c>
      <c r="B117" s="1" t="s">
        <v>107</v>
      </c>
      <c r="C117" s="60"/>
      <c r="D117" s="2" t="s">
        <v>106</v>
      </c>
      <c r="E117" s="61" t="s">
        <v>102</v>
      </c>
      <c r="F117" s="123"/>
    </row>
    <row r="118" spans="1:6" ht="30" customHeight="1">
      <c r="A118" s="13" t="s">
        <v>15</v>
      </c>
      <c r="B118" s="1"/>
      <c r="C118" s="60"/>
      <c r="D118" s="2" t="s">
        <v>101</v>
      </c>
      <c r="E118" s="61" t="s">
        <v>100</v>
      </c>
      <c r="F118" s="123"/>
    </row>
    <row r="119" spans="1:6" ht="30" customHeight="1" thickBot="1">
      <c r="A119" s="13" t="s">
        <v>8</v>
      </c>
      <c r="B119" s="1" t="s">
        <v>99</v>
      </c>
      <c r="C119" s="62"/>
      <c r="D119" s="63"/>
      <c r="E119" s="64"/>
      <c r="F119" s="123"/>
    </row>
    <row r="120" spans="1:6" ht="30" customHeight="1">
      <c r="A120" s="13" t="s">
        <v>9</v>
      </c>
      <c r="B120" s="1" t="s">
        <v>134</v>
      </c>
      <c r="C120" s="4" t="s">
        <v>11</v>
      </c>
      <c r="D120" s="6">
        <v>72</v>
      </c>
      <c r="E120" s="65"/>
      <c r="F120" s="123"/>
    </row>
    <row r="121" spans="1:6" ht="30" customHeight="1" thickBot="1">
      <c r="A121" s="14" t="s">
        <v>16</v>
      </c>
      <c r="B121" s="20" t="s">
        <v>17</v>
      </c>
      <c r="C121" s="5" t="s">
        <v>0</v>
      </c>
      <c r="D121" s="7">
        <f>IF(D120&lt;0,"valor del indicador fuera de rango",IF(D120&lt;=30,1,IF(D120&lt;=60,-0.000556*(D120^2)+(0.0333*D120)+0.5,IF(D120&lt;=90,(0.000556*(D120^2))-(0.1*D120)+4.5,"valor del indicador fuera rango"))))</f>
        <v>0.18230400000000024</v>
      </c>
      <c r="E121" s="66"/>
      <c r="F121" s="123"/>
    </row>
    <row r="122" spans="1:6" ht="30" customHeight="1">
      <c r="A122" s="15" t="s">
        <v>14</v>
      </c>
      <c r="B122" s="3" t="s">
        <v>0</v>
      </c>
      <c r="C122" s="147" t="s">
        <v>13</v>
      </c>
      <c r="D122" s="148"/>
      <c r="E122" s="149"/>
      <c r="F122" s="123"/>
    </row>
    <row r="123" spans="1:6" ht="12.95" customHeight="1">
      <c r="A123" s="28">
        <v>0</v>
      </c>
      <c r="B123" s="24">
        <v>1</v>
      </c>
      <c r="C123" s="124"/>
      <c r="D123" s="124"/>
      <c r="E123" s="125"/>
      <c r="F123" s="123"/>
    </row>
    <row r="124" spans="1:6" ht="12.95" customHeight="1">
      <c r="A124" s="29">
        <f>+A123+4</f>
        <v>4</v>
      </c>
      <c r="B124" s="24">
        <v>1</v>
      </c>
      <c r="C124" s="126"/>
      <c r="D124" s="124"/>
      <c r="E124" s="125"/>
      <c r="F124" s="123"/>
    </row>
    <row r="125" spans="1:6" ht="12.95" customHeight="1">
      <c r="A125" s="29">
        <f aca="true" t="shared" si="7" ref="A125:A142">+A124+4</f>
        <v>8</v>
      </c>
      <c r="B125" s="24">
        <v>1</v>
      </c>
      <c r="C125" s="126"/>
      <c r="D125" s="124"/>
      <c r="E125" s="125"/>
      <c r="F125" s="123"/>
    </row>
    <row r="126" spans="1:6" ht="12.95" customHeight="1">
      <c r="A126" s="29">
        <f t="shared" si="7"/>
        <v>12</v>
      </c>
      <c r="B126" s="24">
        <v>1</v>
      </c>
      <c r="C126" s="126"/>
      <c r="D126" s="124"/>
      <c r="E126" s="125"/>
      <c r="F126" s="123"/>
    </row>
    <row r="127" spans="1:6" ht="12.95" customHeight="1">
      <c r="A127" s="29">
        <f t="shared" si="7"/>
        <v>16</v>
      </c>
      <c r="B127" s="24">
        <v>1</v>
      </c>
      <c r="C127" s="126"/>
      <c r="D127" s="124"/>
      <c r="E127" s="125"/>
      <c r="F127" s="123"/>
    </row>
    <row r="128" spans="1:6" ht="12.95" customHeight="1">
      <c r="A128" s="29">
        <f t="shared" si="7"/>
        <v>20</v>
      </c>
      <c r="B128" s="24">
        <v>1</v>
      </c>
      <c r="C128" s="126"/>
      <c r="D128" s="124"/>
      <c r="E128" s="125"/>
      <c r="F128" s="123"/>
    </row>
    <row r="129" spans="1:6" ht="12.95" customHeight="1">
      <c r="A129" s="29">
        <f t="shared" si="7"/>
        <v>24</v>
      </c>
      <c r="B129" s="24">
        <v>1</v>
      </c>
      <c r="C129" s="126"/>
      <c r="D129" s="124"/>
      <c r="E129" s="125"/>
      <c r="F129" s="123"/>
    </row>
    <row r="130" spans="1:6" ht="12.95" customHeight="1">
      <c r="A130" s="29">
        <f t="shared" si="7"/>
        <v>28</v>
      </c>
      <c r="B130" s="24">
        <v>1</v>
      </c>
      <c r="C130" s="126"/>
      <c r="D130" s="124"/>
      <c r="E130" s="125"/>
      <c r="F130" s="123"/>
    </row>
    <row r="131" spans="1:6" ht="12.95" customHeight="1">
      <c r="A131" s="30">
        <f t="shared" si="7"/>
        <v>32</v>
      </c>
      <c r="B131" s="26">
        <f>-0.000556*(A131^2)+(0.0333*A131)+0.5</f>
        <v>0.9962560000000001</v>
      </c>
      <c r="C131" s="126"/>
      <c r="D131" s="124"/>
      <c r="E131" s="125"/>
      <c r="F131" s="123"/>
    </row>
    <row r="132" spans="1:6" ht="12.95" customHeight="1">
      <c r="A132" s="30">
        <f t="shared" si="7"/>
        <v>36</v>
      </c>
      <c r="B132" s="26">
        <f aca="true" t="shared" si="8" ref="B132:B138">-0.000556*(A132^2)+(0.0333*A132)+0.5</f>
        <v>0.9782240000000001</v>
      </c>
      <c r="C132" s="126"/>
      <c r="D132" s="124"/>
      <c r="E132" s="125"/>
      <c r="F132" s="123"/>
    </row>
    <row r="133" spans="1:6" ht="12.95" customHeight="1">
      <c r="A133" s="30">
        <f t="shared" si="7"/>
        <v>40</v>
      </c>
      <c r="B133" s="26">
        <f t="shared" si="8"/>
        <v>0.9424000000000001</v>
      </c>
      <c r="C133" s="126"/>
      <c r="D133" s="124"/>
      <c r="E133" s="125"/>
      <c r="F133" s="123"/>
    </row>
    <row r="134" spans="1:6" ht="12.95" customHeight="1">
      <c r="A134" s="30">
        <f t="shared" si="7"/>
        <v>44</v>
      </c>
      <c r="B134" s="26">
        <f t="shared" si="8"/>
        <v>0.8887840000000002</v>
      </c>
      <c r="C134" s="126"/>
      <c r="D134" s="124"/>
      <c r="E134" s="125"/>
      <c r="F134" s="123"/>
    </row>
    <row r="135" spans="1:6" ht="12.95" customHeight="1">
      <c r="A135" s="30">
        <f t="shared" si="7"/>
        <v>48</v>
      </c>
      <c r="B135" s="26">
        <f t="shared" si="8"/>
        <v>0.8173760000000003</v>
      </c>
      <c r="C135" s="126"/>
      <c r="D135" s="124"/>
      <c r="E135" s="125"/>
      <c r="F135" s="123"/>
    </row>
    <row r="136" spans="1:6" ht="12.95" customHeight="1">
      <c r="A136" s="30">
        <f t="shared" si="7"/>
        <v>52</v>
      </c>
      <c r="B136" s="26">
        <f t="shared" si="8"/>
        <v>0.7281760000000004</v>
      </c>
      <c r="C136" s="126"/>
      <c r="D136" s="124"/>
      <c r="E136" s="125"/>
      <c r="F136" s="123"/>
    </row>
    <row r="137" spans="1:6" ht="12.95" customHeight="1">
      <c r="A137" s="30">
        <f t="shared" si="7"/>
        <v>56</v>
      </c>
      <c r="B137" s="26">
        <f t="shared" si="8"/>
        <v>0.6211840000000004</v>
      </c>
      <c r="C137" s="126"/>
      <c r="D137" s="124"/>
      <c r="E137" s="125"/>
      <c r="F137" s="123"/>
    </row>
    <row r="138" spans="1:6" ht="12.95" customHeight="1">
      <c r="A138" s="30">
        <f t="shared" si="7"/>
        <v>60</v>
      </c>
      <c r="B138" s="26">
        <f t="shared" si="8"/>
        <v>0.4964000000000004</v>
      </c>
      <c r="C138" s="126"/>
      <c r="D138" s="124"/>
      <c r="E138" s="125"/>
      <c r="F138" s="123"/>
    </row>
    <row r="139" spans="1:6" ht="12.95" customHeight="1">
      <c r="A139" s="31">
        <f t="shared" si="7"/>
        <v>64</v>
      </c>
      <c r="B139" s="27">
        <f aca="true" t="shared" si="9" ref="B139:B145">0.000556*(A139^2)-(0.1*A139)+4.5</f>
        <v>0.37737599999999993</v>
      </c>
      <c r="C139" s="126"/>
      <c r="D139" s="124"/>
      <c r="E139" s="125"/>
      <c r="F139" s="123"/>
    </row>
    <row r="140" spans="1:6" ht="12.95" customHeight="1">
      <c r="A140" s="31">
        <f t="shared" si="7"/>
        <v>68</v>
      </c>
      <c r="B140" s="27">
        <f t="shared" si="9"/>
        <v>0.2709439999999992</v>
      </c>
      <c r="C140" s="126"/>
      <c r="D140" s="124"/>
      <c r="E140" s="125"/>
      <c r="F140" s="123"/>
    </row>
    <row r="141" spans="1:6" ht="12.95" customHeight="1">
      <c r="A141" s="31">
        <f t="shared" si="7"/>
        <v>72</v>
      </c>
      <c r="B141" s="27">
        <f t="shared" si="9"/>
        <v>0.18230400000000024</v>
      </c>
      <c r="C141" s="126"/>
      <c r="D141" s="124"/>
      <c r="E141" s="125"/>
      <c r="F141" s="123"/>
    </row>
    <row r="142" spans="1:6" ht="12.95" customHeight="1">
      <c r="A142" s="31">
        <f t="shared" si="7"/>
        <v>76</v>
      </c>
      <c r="B142" s="27">
        <f t="shared" si="9"/>
        <v>0.11145599999999867</v>
      </c>
      <c r="C142" s="126"/>
      <c r="D142" s="124"/>
      <c r="E142" s="125"/>
      <c r="F142" s="123"/>
    </row>
    <row r="143" spans="1:6" ht="12.95" customHeight="1">
      <c r="A143" s="31">
        <v>78</v>
      </c>
      <c r="B143" s="27">
        <f t="shared" si="9"/>
        <v>0.08270399999999967</v>
      </c>
      <c r="C143" s="126"/>
      <c r="D143" s="124"/>
      <c r="E143" s="125"/>
      <c r="F143" s="123"/>
    </row>
    <row r="144" spans="1:6" ht="12.95" customHeight="1">
      <c r="A144" s="31">
        <f>+A142+4</f>
        <v>80</v>
      </c>
      <c r="B144" s="27">
        <f t="shared" si="9"/>
        <v>0.058399999999999785</v>
      </c>
      <c r="C144" s="126"/>
      <c r="D144" s="124"/>
      <c r="E144" s="125"/>
      <c r="F144" s="123"/>
    </row>
    <row r="145" spans="1:6" ht="12.95" customHeight="1" thickBot="1">
      <c r="A145" s="51">
        <v>90</v>
      </c>
      <c r="B145" s="52">
        <f t="shared" si="9"/>
        <v>0.0035999999999996035</v>
      </c>
      <c r="C145" s="127"/>
      <c r="D145" s="128"/>
      <c r="E145" s="129"/>
      <c r="F145" s="123"/>
    </row>
    <row r="146" spans="1:6" ht="12.95" customHeight="1" thickTop="1">
      <c r="A146" s="123"/>
      <c r="B146" s="123"/>
      <c r="C146" s="123"/>
      <c r="D146" s="123"/>
      <c r="E146" s="123"/>
      <c r="F146" s="123"/>
    </row>
    <row r="147" spans="1:6" ht="12.95" customHeight="1" thickBot="1">
      <c r="A147" s="123"/>
      <c r="B147" s="123"/>
      <c r="C147" s="123"/>
      <c r="D147" s="123"/>
      <c r="E147" s="123"/>
      <c r="F147" s="123"/>
    </row>
    <row r="148" spans="1:6" ht="30" customHeight="1" thickTop="1">
      <c r="A148" s="8" t="s">
        <v>12</v>
      </c>
      <c r="B148" s="9">
        <v>22</v>
      </c>
      <c r="C148" s="10" t="s">
        <v>10</v>
      </c>
      <c r="D148" s="11" t="s">
        <v>105</v>
      </c>
      <c r="E148" s="12" t="s">
        <v>52</v>
      </c>
      <c r="F148" s="123"/>
    </row>
    <row r="149" spans="1:6" ht="30" customHeight="1">
      <c r="A149" s="13" t="s">
        <v>7</v>
      </c>
      <c r="B149" s="1" t="s">
        <v>104</v>
      </c>
      <c r="C149" s="60"/>
      <c r="D149" s="2" t="s">
        <v>103</v>
      </c>
      <c r="E149" s="61" t="s">
        <v>102</v>
      </c>
      <c r="F149" s="123"/>
    </row>
    <row r="150" spans="1:6" ht="30" customHeight="1">
      <c r="A150" s="13" t="s">
        <v>15</v>
      </c>
      <c r="B150" s="1"/>
      <c r="C150" s="60"/>
      <c r="D150" s="2" t="s">
        <v>101</v>
      </c>
      <c r="E150" s="61" t="s">
        <v>100</v>
      </c>
      <c r="F150" s="123"/>
    </row>
    <row r="151" spans="1:6" ht="30" customHeight="1" thickBot="1">
      <c r="A151" s="13" t="s">
        <v>8</v>
      </c>
      <c r="B151" s="1" t="s">
        <v>99</v>
      </c>
      <c r="C151" s="62"/>
      <c r="D151" s="63"/>
      <c r="E151" s="64"/>
      <c r="F151" s="123"/>
    </row>
    <row r="152" spans="1:6" ht="30" customHeight="1">
      <c r="A152" s="13" t="s">
        <v>9</v>
      </c>
      <c r="B152" s="1" t="s">
        <v>134</v>
      </c>
      <c r="C152" s="4" t="s">
        <v>11</v>
      </c>
      <c r="D152" s="6">
        <v>52</v>
      </c>
      <c r="E152" s="65"/>
      <c r="F152" s="123"/>
    </row>
    <row r="153" spans="1:6" ht="30" customHeight="1" thickBot="1">
      <c r="A153" s="14" t="s">
        <v>16</v>
      </c>
      <c r="B153" s="20" t="s">
        <v>17</v>
      </c>
      <c r="C153" s="5" t="s">
        <v>0</v>
      </c>
      <c r="D153" s="7">
        <f>IF(D152&lt;0,"valor del indicador fuera de rango",IF(D152&lt;=30,1,IF(D152&lt;=60,-0.000556*(D152^2)+(0.0333*D152)+0.5,IF(D152&lt;=90,(0.000556*(D152^2))-(0.1*D152)+4.5,"valor del indicador fuera rango"))))</f>
        <v>0.7281760000000004</v>
      </c>
      <c r="E153" s="66"/>
      <c r="F153" s="123"/>
    </row>
    <row r="154" spans="1:6" ht="30" customHeight="1">
      <c r="A154" s="15" t="s">
        <v>14</v>
      </c>
      <c r="B154" s="3" t="s">
        <v>0</v>
      </c>
      <c r="C154" s="147" t="s">
        <v>13</v>
      </c>
      <c r="D154" s="148"/>
      <c r="E154" s="149"/>
      <c r="F154" s="123"/>
    </row>
    <row r="155" spans="1:6" ht="12.95" customHeight="1">
      <c r="A155" s="28">
        <v>0</v>
      </c>
      <c r="B155" s="24">
        <v>1</v>
      </c>
      <c r="C155" s="124"/>
      <c r="D155" s="124"/>
      <c r="E155" s="125"/>
      <c r="F155" s="123"/>
    </row>
    <row r="156" spans="1:6" ht="12.95" customHeight="1">
      <c r="A156" s="29">
        <f>+A155+4</f>
        <v>4</v>
      </c>
      <c r="B156" s="24">
        <v>1</v>
      </c>
      <c r="C156" s="126"/>
      <c r="D156" s="124"/>
      <c r="E156" s="125"/>
      <c r="F156" s="123"/>
    </row>
    <row r="157" spans="1:6" ht="12.95" customHeight="1">
      <c r="A157" s="29">
        <f aca="true" t="shared" si="10" ref="A157:A173">+A156+4</f>
        <v>8</v>
      </c>
      <c r="B157" s="24">
        <v>1</v>
      </c>
      <c r="C157" s="126"/>
      <c r="D157" s="124"/>
      <c r="E157" s="125"/>
      <c r="F157" s="123"/>
    </row>
    <row r="158" spans="1:6" ht="12.95" customHeight="1">
      <c r="A158" s="29">
        <f t="shared" si="10"/>
        <v>12</v>
      </c>
      <c r="B158" s="24">
        <v>1</v>
      </c>
      <c r="C158" s="126"/>
      <c r="D158" s="124"/>
      <c r="E158" s="125"/>
      <c r="F158" s="123"/>
    </row>
    <row r="159" spans="1:6" ht="12.95" customHeight="1">
      <c r="A159" s="29">
        <f t="shared" si="10"/>
        <v>16</v>
      </c>
      <c r="B159" s="24">
        <v>1</v>
      </c>
      <c r="C159" s="126"/>
      <c r="D159" s="124"/>
      <c r="E159" s="125"/>
      <c r="F159" s="123"/>
    </row>
    <row r="160" spans="1:6" ht="12.95" customHeight="1">
      <c r="A160" s="29">
        <f t="shared" si="10"/>
        <v>20</v>
      </c>
      <c r="B160" s="24">
        <v>1</v>
      </c>
      <c r="C160" s="126"/>
      <c r="D160" s="124"/>
      <c r="E160" s="125"/>
      <c r="F160" s="123"/>
    </row>
    <row r="161" spans="1:6" ht="12.95" customHeight="1">
      <c r="A161" s="29">
        <f t="shared" si="10"/>
        <v>24</v>
      </c>
      <c r="B161" s="24">
        <v>1</v>
      </c>
      <c r="C161" s="126"/>
      <c r="D161" s="124"/>
      <c r="E161" s="125"/>
      <c r="F161" s="123"/>
    </row>
    <row r="162" spans="1:6" ht="12.95" customHeight="1">
      <c r="A162" s="29">
        <f t="shared" si="10"/>
        <v>28</v>
      </c>
      <c r="B162" s="24">
        <v>1</v>
      </c>
      <c r="C162" s="126"/>
      <c r="D162" s="124"/>
      <c r="E162" s="125"/>
      <c r="F162" s="123"/>
    </row>
    <row r="163" spans="1:6" ht="12.95" customHeight="1">
      <c r="A163" s="30">
        <f t="shared" si="10"/>
        <v>32</v>
      </c>
      <c r="B163" s="26">
        <f>-0.000556*(A163^2)+(0.0333*A163)+0.5</f>
        <v>0.9962560000000001</v>
      </c>
      <c r="C163" s="126"/>
      <c r="D163" s="124"/>
      <c r="E163" s="125"/>
      <c r="F163" s="123"/>
    </row>
    <row r="164" spans="1:6" ht="12.95" customHeight="1">
      <c r="A164" s="30">
        <f t="shared" si="10"/>
        <v>36</v>
      </c>
      <c r="B164" s="26">
        <f aca="true" t="shared" si="11" ref="B164:B169">-0.000556*(A164^2)+(0.0333*A164)+0.5</f>
        <v>0.9782240000000001</v>
      </c>
      <c r="C164" s="126"/>
      <c r="D164" s="124"/>
      <c r="E164" s="125"/>
      <c r="F164" s="123"/>
    </row>
    <row r="165" spans="1:6" ht="12.95" customHeight="1">
      <c r="A165" s="30">
        <f t="shared" si="10"/>
        <v>40</v>
      </c>
      <c r="B165" s="26">
        <f t="shared" si="11"/>
        <v>0.9424000000000001</v>
      </c>
      <c r="C165" s="126"/>
      <c r="D165" s="124"/>
      <c r="E165" s="125"/>
      <c r="F165" s="123"/>
    </row>
    <row r="166" spans="1:6" ht="12.95" customHeight="1">
      <c r="A166" s="30">
        <f t="shared" si="10"/>
        <v>44</v>
      </c>
      <c r="B166" s="26">
        <f t="shared" si="11"/>
        <v>0.8887840000000002</v>
      </c>
      <c r="C166" s="126"/>
      <c r="D166" s="124"/>
      <c r="E166" s="125"/>
      <c r="F166" s="123"/>
    </row>
    <row r="167" spans="1:6" ht="12.95" customHeight="1">
      <c r="A167" s="30">
        <f t="shared" si="10"/>
        <v>48</v>
      </c>
      <c r="B167" s="26">
        <f t="shared" si="11"/>
        <v>0.8173760000000003</v>
      </c>
      <c r="C167" s="126"/>
      <c r="D167" s="124"/>
      <c r="E167" s="125"/>
      <c r="F167" s="123"/>
    </row>
    <row r="168" spans="1:6" ht="12.95" customHeight="1">
      <c r="A168" s="30">
        <f t="shared" si="10"/>
        <v>52</v>
      </c>
      <c r="B168" s="26">
        <f t="shared" si="11"/>
        <v>0.7281760000000004</v>
      </c>
      <c r="C168" s="126"/>
      <c r="D168" s="124"/>
      <c r="E168" s="125"/>
      <c r="F168" s="123"/>
    </row>
    <row r="169" spans="1:6" ht="12.95" customHeight="1">
      <c r="A169" s="30">
        <v>60</v>
      </c>
      <c r="B169" s="26">
        <f t="shared" si="11"/>
        <v>0.4964000000000004</v>
      </c>
      <c r="C169" s="126"/>
      <c r="D169" s="124"/>
      <c r="E169" s="125"/>
      <c r="F169" s="123"/>
    </row>
    <row r="170" spans="1:6" ht="12.95" customHeight="1">
      <c r="A170" s="31">
        <f t="shared" si="10"/>
        <v>64</v>
      </c>
      <c r="B170" s="27">
        <f>0.000556*(A170^2)-(0.1*A170)+4.5</f>
        <v>0.37737599999999993</v>
      </c>
      <c r="C170" s="126"/>
      <c r="D170" s="124"/>
      <c r="E170" s="125"/>
      <c r="F170" s="123"/>
    </row>
    <row r="171" spans="1:6" ht="12.95" customHeight="1">
      <c r="A171" s="31">
        <f t="shared" si="10"/>
        <v>68</v>
      </c>
      <c r="B171" s="27">
        <f>0.000556*(A171^2)-(0.1*A171)+4.5</f>
        <v>0.2709439999999992</v>
      </c>
      <c r="C171" s="126"/>
      <c r="D171" s="124"/>
      <c r="E171" s="125"/>
      <c r="F171" s="123"/>
    </row>
    <row r="172" spans="1:6" ht="12.95" customHeight="1">
      <c r="A172" s="31">
        <v>76</v>
      </c>
      <c r="B172" s="27">
        <f>0.000556*(A172^2)-(0.1*A172)+4.5</f>
        <v>0.11145599999999867</v>
      </c>
      <c r="C172" s="126"/>
      <c r="D172" s="124"/>
      <c r="E172" s="125"/>
      <c r="F172" s="123"/>
    </row>
    <row r="173" spans="1:6" ht="12.95" customHeight="1">
      <c r="A173" s="31">
        <f t="shared" si="10"/>
        <v>80</v>
      </c>
      <c r="B173" s="27">
        <f>0.000556*(A173^2)-(0.1*A173)+4.5</f>
        <v>0.058399999999999785</v>
      </c>
      <c r="C173" s="126"/>
      <c r="D173" s="124"/>
      <c r="E173" s="125"/>
      <c r="F173" s="123"/>
    </row>
    <row r="174" spans="1:6" ht="12.95" customHeight="1" thickBot="1">
      <c r="A174" s="51">
        <v>90</v>
      </c>
      <c r="B174" s="52">
        <f>0.000556*(A174^2)-(0.1*A174)+4.5</f>
        <v>0.0035999999999996035</v>
      </c>
      <c r="C174" s="127"/>
      <c r="D174" s="128"/>
      <c r="E174" s="129"/>
      <c r="F174" s="123"/>
    </row>
    <row r="175" spans="1:6" ht="12.95" customHeight="1" thickTop="1">
      <c r="A175" s="123"/>
      <c r="B175" s="123"/>
      <c r="C175" s="123"/>
      <c r="D175" s="123"/>
      <c r="E175" s="123"/>
      <c r="F175" s="123"/>
    </row>
    <row r="176" spans="1:6" ht="12.95" customHeight="1" thickBot="1">
      <c r="A176" s="123"/>
      <c r="B176" s="123"/>
      <c r="C176" s="123"/>
      <c r="D176" s="123"/>
      <c r="E176" s="123"/>
      <c r="F176" s="123"/>
    </row>
    <row r="177" spans="1:6" ht="30" customHeight="1" thickTop="1">
      <c r="A177" s="8" t="s">
        <v>12</v>
      </c>
      <c r="B177" s="9">
        <v>23</v>
      </c>
      <c r="C177" s="10" t="s">
        <v>10</v>
      </c>
      <c r="D177" s="11" t="s">
        <v>98</v>
      </c>
      <c r="E177" s="12" t="s">
        <v>23</v>
      </c>
      <c r="F177" s="123"/>
    </row>
    <row r="178" spans="1:6" ht="30" customHeight="1">
      <c r="A178" s="13" t="s">
        <v>7</v>
      </c>
      <c r="B178" s="1" t="s">
        <v>97</v>
      </c>
      <c r="C178" s="60"/>
      <c r="D178" s="2"/>
      <c r="E178" s="61"/>
      <c r="F178" s="123"/>
    </row>
    <row r="179" spans="1:6" ht="30" customHeight="1">
      <c r="A179" s="13" t="s">
        <v>15</v>
      </c>
      <c r="B179" s="1"/>
      <c r="C179" s="60"/>
      <c r="D179" s="2"/>
      <c r="E179" s="61"/>
      <c r="F179" s="123"/>
    </row>
    <row r="180" spans="1:6" ht="30" customHeight="1" thickBot="1">
      <c r="A180" s="13" t="s">
        <v>8</v>
      </c>
      <c r="B180" s="1" t="s">
        <v>47</v>
      </c>
      <c r="C180" s="62"/>
      <c r="D180" s="63"/>
      <c r="E180" s="64"/>
      <c r="F180" s="123"/>
    </row>
    <row r="181" spans="1:6" ht="30" customHeight="1">
      <c r="A181" s="13" t="s">
        <v>9</v>
      </c>
      <c r="B181" s="1" t="s">
        <v>86</v>
      </c>
      <c r="C181" s="4" t="s">
        <v>11</v>
      </c>
      <c r="D181" s="6">
        <v>40</v>
      </c>
      <c r="E181" s="65"/>
      <c r="F181" s="123"/>
    </row>
    <row r="182" spans="1:6" ht="30" customHeight="1" thickBot="1">
      <c r="A182" s="14" t="s">
        <v>16</v>
      </c>
      <c r="B182" s="20" t="s">
        <v>17</v>
      </c>
      <c r="C182" s="5" t="s">
        <v>0</v>
      </c>
      <c r="D182" s="7">
        <f>IF(D181&lt;0,"valor del indicador fuera de rango",IF(D181&lt;=100,-0.01*(D181)+1,"valor del indicador fuera rango"))</f>
        <v>0.6</v>
      </c>
      <c r="E182" s="66"/>
      <c r="F182" s="123"/>
    </row>
    <row r="183" spans="1:6" ht="30" customHeight="1">
      <c r="A183" s="15" t="s">
        <v>14</v>
      </c>
      <c r="B183" s="3" t="s">
        <v>0</v>
      </c>
      <c r="C183" s="147" t="s">
        <v>13</v>
      </c>
      <c r="D183" s="148"/>
      <c r="E183" s="149"/>
      <c r="F183" s="123"/>
    </row>
    <row r="184" spans="1:6" ht="12.95" customHeight="1">
      <c r="A184" s="28">
        <v>0</v>
      </c>
      <c r="B184" s="24">
        <f>(-0.01*A184)+1</f>
        <v>1</v>
      </c>
      <c r="C184" s="124"/>
      <c r="D184" s="124"/>
      <c r="E184" s="125"/>
      <c r="F184" s="123"/>
    </row>
    <row r="185" spans="1:6" ht="12.95" customHeight="1">
      <c r="A185" s="29">
        <f>+A184+5</f>
        <v>5</v>
      </c>
      <c r="B185" s="24">
        <f aca="true" t="shared" si="12" ref="B185:B202">(-0.01*A185)+1</f>
        <v>0.95</v>
      </c>
      <c r="C185" s="126"/>
      <c r="D185" s="124"/>
      <c r="E185" s="125"/>
      <c r="F185" s="123"/>
    </row>
    <row r="186" spans="1:6" ht="12.95" customHeight="1">
      <c r="A186" s="29">
        <f aca="true" t="shared" si="13" ref="A186:A200">+A185+5</f>
        <v>10</v>
      </c>
      <c r="B186" s="24">
        <f t="shared" si="12"/>
        <v>0.9</v>
      </c>
      <c r="C186" s="126"/>
      <c r="D186" s="124"/>
      <c r="E186" s="125"/>
      <c r="F186" s="123"/>
    </row>
    <row r="187" spans="1:6" ht="12.95" customHeight="1">
      <c r="A187" s="29">
        <f t="shared" si="13"/>
        <v>15</v>
      </c>
      <c r="B187" s="24">
        <f t="shared" si="12"/>
        <v>0.85</v>
      </c>
      <c r="C187" s="126"/>
      <c r="D187" s="124"/>
      <c r="E187" s="125"/>
      <c r="F187" s="123"/>
    </row>
    <row r="188" spans="1:6" ht="12.95" customHeight="1">
      <c r="A188" s="29">
        <f t="shared" si="13"/>
        <v>20</v>
      </c>
      <c r="B188" s="24">
        <f t="shared" si="12"/>
        <v>0.8</v>
      </c>
      <c r="C188" s="126"/>
      <c r="D188" s="124"/>
      <c r="E188" s="125"/>
      <c r="F188" s="123"/>
    </row>
    <row r="189" spans="1:6" ht="12.95" customHeight="1">
      <c r="A189" s="29">
        <f t="shared" si="13"/>
        <v>25</v>
      </c>
      <c r="B189" s="24">
        <f t="shared" si="12"/>
        <v>0.75</v>
      </c>
      <c r="C189" s="126"/>
      <c r="D189" s="124"/>
      <c r="E189" s="125"/>
      <c r="F189" s="123"/>
    </row>
    <row r="190" spans="1:6" ht="12.95" customHeight="1">
      <c r="A190" s="29">
        <f t="shared" si="13"/>
        <v>30</v>
      </c>
      <c r="B190" s="24">
        <f t="shared" si="12"/>
        <v>0.7</v>
      </c>
      <c r="C190" s="126"/>
      <c r="D190" s="124"/>
      <c r="E190" s="125"/>
      <c r="F190" s="123"/>
    </row>
    <row r="191" spans="1:6" ht="12.95" customHeight="1">
      <c r="A191" s="29">
        <f t="shared" si="13"/>
        <v>35</v>
      </c>
      <c r="B191" s="24">
        <f t="shared" si="12"/>
        <v>0.6499999999999999</v>
      </c>
      <c r="C191" s="126"/>
      <c r="D191" s="124"/>
      <c r="E191" s="125"/>
      <c r="F191" s="123"/>
    </row>
    <row r="192" spans="1:6" ht="12.95" customHeight="1">
      <c r="A192" s="29">
        <f t="shared" si="13"/>
        <v>40</v>
      </c>
      <c r="B192" s="24">
        <f t="shared" si="12"/>
        <v>0.6</v>
      </c>
      <c r="C192" s="126"/>
      <c r="D192" s="124"/>
      <c r="E192" s="125"/>
      <c r="F192" s="123"/>
    </row>
    <row r="193" spans="1:6" ht="12.95" customHeight="1">
      <c r="A193" s="29">
        <f t="shared" si="13"/>
        <v>45</v>
      </c>
      <c r="B193" s="24">
        <f t="shared" si="12"/>
        <v>0.55</v>
      </c>
      <c r="C193" s="126"/>
      <c r="D193" s="124"/>
      <c r="E193" s="125"/>
      <c r="F193" s="123"/>
    </row>
    <row r="194" spans="1:6" ht="12.95" customHeight="1">
      <c r="A194" s="29">
        <f t="shared" si="13"/>
        <v>50</v>
      </c>
      <c r="B194" s="24">
        <f t="shared" si="12"/>
        <v>0.5</v>
      </c>
      <c r="C194" s="126"/>
      <c r="D194" s="124"/>
      <c r="E194" s="125"/>
      <c r="F194" s="123"/>
    </row>
    <row r="195" spans="1:6" ht="12.95" customHeight="1">
      <c r="A195" s="29">
        <f t="shared" si="13"/>
        <v>55</v>
      </c>
      <c r="B195" s="24">
        <f t="shared" si="12"/>
        <v>0.44999999999999996</v>
      </c>
      <c r="C195" s="126"/>
      <c r="D195" s="124"/>
      <c r="E195" s="125"/>
      <c r="F195" s="123"/>
    </row>
    <row r="196" spans="1:6" ht="12.95" customHeight="1">
      <c r="A196" s="29">
        <f t="shared" si="13"/>
        <v>60</v>
      </c>
      <c r="B196" s="24">
        <f t="shared" si="12"/>
        <v>0.4</v>
      </c>
      <c r="C196" s="126"/>
      <c r="D196" s="124"/>
      <c r="E196" s="125"/>
      <c r="F196" s="123"/>
    </row>
    <row r="197" spans="1:6" ht="12.95" customHeight="1">
      <c r="A197" s="29">
        <f t="shared" si="13"/>
        <v>65</v>
      </c>
      <c r="B197" s="24">
        <f t="shared" si="12"/>
        <v>0.35</v>
      </c>
      <c r="C197" s="126"/>
      <c r="D197" s="124"/>
      <c r="E197" s="125"/>
      <c r="F197" s="123"/>
    </row>
    <row r="198" spans="1:6" ht="12.95" customHeight="1">
      <c r="A198" s="29">
        <f t="shared" si="13"/>
        <v>70</v>
      </c>
      <c r="B198" s="24">
        <f t="shared" si="12"/>
        <v>0.29999999999999993</v>
      </c>
      <c r="C198" s="126"/>
      <c r="D198" s="124"/>
      <c r="E198" s="125"/>
      <c r="F198" s="123"/>
    </row>
    <row r="199" spans="1:6" ht="12.95" customHeight="1">
      <c r="A199" s="29">
        <f t="shared" si="13"/>
        <v>75</v>
      </c>
      <c r="B199" s="24">
        <f t="shared" si="12"/>
        <v>0.25</v>
      </c>
      <c r="C199" s="126"/>
      <c r="D199" s="124"/>
      <c r="E199" s="125"/>
      <c r="F199" s="123"/>
    </row>
    <row r="200" spans="1:6" ht="12.95" customHeight="1">
      <c r="A200" s="29">
        <f t="shared" si="13"/>
        <v>80</v>
      </c>
      <c r="B200" s="24">
        <f t="shared" si="12"/>
        <v>0.19999999999999996</v>
      </c>
      <c r="C200" s="126"/>
      <c r="D200" s="124"/>
      <c r="E200" s="125"/>
      <c r="F200" s="123"/>
    </row>
    <row r="201" spans="1:6" ht="12.95" customHeight="1">
      <c r="A201" s="29">
        <v>90</v>
      </c>
      <c r="B201" s="24">
        <f t="shared" si="12"/>
        <v>0.09999999999999998</v>
      </c>
      <c r="C201" s="126"/>
      <c r="D201" s="124"/>
      <c r="E201" s="125"/>
      <c r="F201" s="123"/>
    </row>
    <row r="202" spans="1:6" ht="12.95" customHeight="1" thickBot="1">
      <c r="A202" s="56">
        <v>100</v>
      </c>
      <c r="B202" s="59">
        <f t="shared" si="12"/>
        <v>0</v>
      </c>
      <c r="C202" s="127"/>
      <c r="D202" s="128"/>
      <c r="E202" s="129"/>
      <c r="F202" s="123"/>
    </row>
    <row r="203" ht="12.95" customHeight="1" thickTop="1"/>
  </sheetData>
  <mergeCells count="7">
    <mergeCell ref="C154:E154"/>
    <mergeCell ref="C183:E183"/>
    <mergeCell ref="C93:E93"/>
    <mergeCell ref="C7:E7"/>
    <mergeCell ref="C35:E35"/>
    <mergeCell ref="C64:E64"/>
    <mergeCell ref="C122:E12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4"/>
  <sheetViews>
    <sheetView zoomScale="75" zoomScaleNormal="75" workbookViewId="0" topLeftCell="A1">
      <selection activeCell="A1" sqref="A1:IV65536"/>
    </sheetView>
  </sheetViews>
  <sheetFormatPr defaultColWidth="22.83203125" defaultRowHeight="12.75" customHeight="1"/>
  <cols>
    <col min="1" max="1" width="25.83203125" style="123" customWidth="1"/>
    <col min="2" max="2" width="40.83203125" style="123" customWidth="1"/>
    <col min="3" max="16384" width="22.83203125" style="123" customWidth="1"/>
  </cols>
  <sheetData>
    <row r="1" spans="1:5" ht="30" customHeight="1" thickTop="1">
      <c r="A1" s="8" t="s">
        <v>12</v>
      </c>
      <c r="B1" s="32">
        <v>24</v>
      </c>
      <c r="C1" s="10" t="s">
        <v>10</v>
      </c>
      <c r="D1" s="33" t="s">
        <v>109</v>
      </c>
      <c r="E1" s="34" t="s">
        <v>124</v>
      </c>
    </row>
    <row r="2" spans="1:5" ht="30" customHeight="1">
      <c r="A2" s="13" t="s">
        <v>7</v>
      </c>
      <c r="B2" s="35" t="s">
        <v>123</v>
      </c>
      <c r="C2" s="39"/>
      <c r="D2" s="36" t="s">
        <v>125</v>
      </c>
      <c r="E2" s="40" t="s">
        <v>126</v>
      </c>
    </row>
    <row r="3" spans="1:5" ht="30" customHeight="1">
      <c r="A3" s="13" t="s">
        <v>15</v>
      </c>
      <c r="B3" s="35"/>
      <c r="C3" s="39"/>
      <c r="D3" s="36" t="s">
        <v>127</v>
      </c>
      <c r="E3" s="40" t="s">
        <v>128</v>
      </c>
    </row>
    <row r="4" spans="1:5" ht="30" customHeight="1" thickBot="1">
      <c r="A4" s="13" t="s">
        <v>8</v>
      </c>
      <c r="B4" s="35" t="s">
        <v>99</v>
      </c>
      <c r="C4" s="41"/>
      <c r="D4" s="42"/>
      <c r="E4" s="43"/>
    </row>
    <row r="5" spans="1:5" ht="30" customHeight="1">
      <c r="A5" s="13" t="s">
        <v>9</v>
      </c>
      <c r="B5" s="35" t="s">
        <v>135</v>
      </c>
      <c r="C5" s="4" t="s">
        <v>11</v>
      </c>
      <c r="D5" s="6">
        <v>40</v>
      </c>
      <c r="E5" s="44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rango",IF(D5&lt;=25,1,IF(D5&lt;=37.5,-0.0032*(D5^2)+(0.16*D5)-1,IF(D5&lt;=50,(0.0032*(D5^2))-(0.32*D5)+8,"valor del indicador fuera rango"))))</f>
        <v>0.3199999999999994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v>1</v>
      </c>
      <c r="C8" s="47"/>
      <c r="D8" s="47"/>
      <c r="E8" s="48"/>
    </row>
    <row r="9" spans="1:5" ht="12.95" customHeight="1">
      <c r="A9" s="131">
        <v>2.5</v>
      </c>
      <c r="B9" s="24">
        <v>1</v>
      </c>
      <c r="C9" s="25"/>
      <c r="D9" s="47"/>
      <c r="E9" s="48"/>
    </row>
    <row r="10" spans="1:5" ht="12.95" customHeight="1">
      <c r="A10" s="131">
        <v>5</v>
      </c>
      <c r="B10" s="24">
        <v>1</v>
      </c>
      <c r="C10" s="25"/>
      <c r="D10" s="47"/>
      <c r="E10" s="48"/>
    </row>
    <row r="11" spans="1:5" ht="12.95" customHeight="1">
      <c r="A11" s="131">
        <v>7.5</v>
      </c>
      <c r="B11" s="24">
        <v>1</v>
      </c>
      <c r="C11" s="25"/>
      <c r="D11" s="47"/>
      <c r="E11" s="48"/>
    </row>
    <row r="12" spans="1:5" ht="12.95" customHeight="1">
      <c r="A12" s="131">
        <v>10</v>
      </c>
      <c r="B12" s="24">
        <v>1</v>
      </c>
      <c r="C12" s="25"/>
      <c r="D12" s="47"/>
      <c r="E12" s="48"/>
    </row>
    <row r="13" spans="1:5" ht="12.95" customHeight="1">
      <c r="A13" s="131">
        <v>12.5</v>
      </c>
      <c r="B13" s="24">
        <v>1</v>
      </c>
      <c r="C13" s="25"/>
      <c r="D13" s="47"/>
      <c r="E13" s="48"/>
    </row>
    <row r="14" spans="1:5" ht="12.95" customHeight="1">
      <c r="A14" s="131">
        <v>15</v>
      </c>
      <c r="B14" s="24">
        <v>1</v>
      </c>
      <c r="C14" s="25"/>
      <c r="D14" s="47"/>
      <c r="E14" s="48"/>
    </row>
    <row r="15" spans="1:5" ht="12.95" customHeight="1">
      <c r="A15" s="131">
        <v>20</v>
      </c>
      <c r="B15" s="24">
        <v>1</v>
      </c>
      <c r="C15" s="25"/>
      <c r="D15" s="47"/>
      <c r="E15" s="48"/>
    </row>
    <row r="16" spans="1:5" ht="12.95" customHeight="1">
      <c r="A16" s="131">
        <v>22.5</v>
      </c>
      <c r="B16" s="24">
        <v>1</v>
      </c>
      <c r="C16" s="25"/>
      <c r="D16" s="47"/>
      <c r="E16" s="48"/>
    </row>
    <row r="17" spans="1:5" ht="12.95" customHeight="1">
      <c r="A17" s="131">
        <v>25</v>
      </c>
      <c r="B17" s="24">
        <v>1</v>
      </c>
      <c r="C17" s="25"/>
      <c r="D17" s="47"/>
      <c r="E17" s="48"/>
    </row>
    <row r="18" spans="1:5" ht="12.95" customHeight="1">
      <c r="A18" s="132">
        <v>27.5</v>
      </c>
      <c r="B18" s="26">
        <f>-0.0032*(A18^2)+(0.16*A18)-1</f>
        <v>0.9800000000000004</v>
      </c>
      <c r="C18" s="25"/>
      <c r="D18" s="47"/>
      <c r="E18" s="48"/>
    </row>
    <row r="19" spans="1:5" ht="12.95" customHeight="1">
      <c r="A19" s="132">
        <v>30</v>
      </c>
      <c r="B19" s="26">
        <f>-0.0032*(A19^2)+(0.16*A19)-1</f>
        <v>0.9199999999999995</v>
      </c>
      <c r="C19" s="25"/>
      <c r="D19" s="47"/>
      <c r="E19" s="48"/>
    </row>
    <row r="20" spans="1:5" ht="12.95" customHeight="1">
      <c r="A20" s="132">
        <v>32.5</v>
      </c>
      <c r="B20" s="26">
        <f>-0.0032*(A20^2)+(0.16*A20)-1</f>
        <v>0.8199999999999998</v>
      </c>
      <c r="C20" s="25"/>
      <c r="D20" s="47"/>
      <c r="E20" s="48"/>
    </row>
    <row r="21" spans="1:5" ht="12.95" customHeight="1">
      <c r="A21" s="132">
        <v>35</v>
      </c>
      <c r="B21" s="26">
        <f>-0.0032*(A21^2)+(0.16*A21)-1</f>
        <v>0.6800000000000002</v>
      </c>
      <c r="C21" s="25"/>
      <c r="D21" s="47"/>
      <c r="E21" s="48"/>
    </row>
    <row r="22" spans="1:5" ht="12.95" customHeight="1">
      <c r="A22" s="132">
        <v>37.5</v>
      </c>
      <c r="B22" s="26">
        <f>-0.0032*(A22^2)+(0.16*A22)-1</f>
        <v>0.5</v>
      </c>
      <c r="C22" s="25"/>
      <c r="D22" s="47"/>
      <c r="E22" s="48"/>
    </row>
    <row r="23" spans="1:5" ht="12.95" customHeight="1">
      <c r="A23" s="133">
        <v>40</v>
      </c>
      <c r="B23" s="27">
        <f>0.0032*(A23^2)-(0.32*A23)+8</f>
        <v>0.3199999999999994</v>
      </c>
      <c r="C23" s="25"/>
      <c r="D23" s="47"/>
      <c r="E23" s="48"/>
    </row>
    <row r="24" spans="1:5" ht="12.95" customHeight="1">
      <c r="A24" s="133">
        <v>42.5</v>
      </c>
      <c r="B24" s="27">
        <f>0.0032*(A24^2)-(0.32*A24)+8</f>
        <v>0.1800000000000006</v>
      </c>
      <c r="C24" s="25"/>
      <c r="D24" s="47"/>
      <c r="E24" s="48"/>
    </row>
    <row r="25" spans="1:5" ht="12.95" customHeight="1">
      <c r="A25" s="133">
        <v>45</v>
      </c>
      <c r="B25" s="27">
        <f>0.0032*(A25^2)-(0.32*A25)+8</f>
        <v>0.08000000000000007</v>
      </c>
      <c r="C25" s="25"/>
      <c r="D25" s="47"/>
      <c r="E25" s="48"/>
    </row>
    <row r="26" spans="1:5" ht="12.95" customHeight="1">
      <c r="A26" s="133">
        <v>47.5</v>
      </c>
      <c r="B26" s="27">
        <f>0.0032*(A26^2)-(0.32*A26)+8</f>
        <v>0.019999999999999574</v>
      </c>
      <c r="C26" s="25"/>
      <c r="D26" s="47"/>
      <c r="E26" s="48"/>
    </row>
    <row r="27" spans="1:5" ht="12.95" customHeight="1" thickBot="1">
      <c r="A27" s="134">
        <v>50</v>
      </c>
      <c r="B27" s="52">
        <f>0.0032*(A27^2)-(0.32*A27)+8</f>
        <v>0</v>
      </c>
      <c r="C27" s="53"/>
      <c r="D27" s="49"/>
      <c r="E27" s="50"/>
    </row>
    <row r="28" ht="12.95" customHeight="1" thickTop="1"/>
    <row r="29" ht="12.95" customHeight="1" thickBot="1"/>
    <row r="30" spans="1:5" ht="30" customHeight="1" thickTop="1">
      <c r="A30" s="8" t="s">
        <v>12</v>
      </c>
      <c r="B30" s="32">
        <v>25</v>
      </c>
      <c r="C30" s="10" t="s">
        <v>10</v>
      </c>
      <c r="D30" s="33" t="s">
        <v>109</v>
      </c>
      <c r="E30" s="34" t="s">
        <v>52</v>
      </c>
    </row>
    <row r="31" spans="1:5" ht="30" customHeight="1">
      <c r="A31" s="13" t="s">
        <v>7</v>
      </c>
      <c r="B31" s="35" t="s">
        <v>108</v>
      </c>
      <c r="C31" s="39"/>
      <c r="D31" s="36" t="s">
        <v>111</v>
      </c>
      <c r="E31" s="40" t="s">
        <v>57</v>
      </c>
    </row>
    <row r="32" spans="1:5" ht="30" customHeight="1">
      <c r="A32" s="13" t="s">
        <v>15</v>
      </c>
      <c r="B32" s="35"/>
      <c r="C32" s="39"/>
      <c r="D32" s="36" t="s">
        <v>110</v>
      </c>
      <c r="E32" s="40" t="s">
        <v>66</v>
      </c>
    </row>
    <row r="33" spans="1:5" ht="30" customHeight="1" thickBot="1">
      <c r="A33" s="13" t="s">
        <v>8</v>
      </c>
      <c r="B33" s="35" t="s">
        <v>99</v>
      </c>
      <c r="C33" s="41"/>
      <c r="D33" s="42"/>
      <c r="E33" s="43"/>
    </row>
    <row r="34" spans="1:5" ht="30" customHeight="1">
      <c r="A34" s="13" t="s">
        <v>9</v>
      </c>
      <c r="B34" s="35" t="s">
        <v>83</v>
      </c>
      <c r="C34" s="4" t="s">
        <v>11</v>
      </c>
      <c r="D34" s="6">
        <v>50</v>
      </c>
      <c r="E34" s="44"/>
    </row>
    <row r="35" spans="1:5" ht="30" customHeight="1" thickBot="1">
      <c r="A35" s="14" t="s">
        <v>16</v>
      </c>
      <c r="B35" s="20" t="s">
        <v>17</v>
      </c>
      <c r="C35" s="5" t="s">
        <v>0</v>
      </c>
      <c r="D35" s="7">
        <f>IF(D34&lt;0,"valor del indicador fuera de rango",IF(D34&lt;=30,1,IF(D34&lt;=45,-0.00222*(D34^2)+(0.133*D34)-1,IF(D34&lt;=56,0.00222*(D34^2)-(0.267*D34)+8,"valor del indicador fuera rango"))))</f>
        <v>0.1999999999999993</v>
      </c>
      <c r="E35" s="45"/>
    </row>
    <row r="36" spans="1:5" ht="30" customHeight="1">
      <c r="A36" s="15" t="s">
        <v>14</v>
      </c>
      <c r="B36" s="3" t="s">
        <v>0</v>
      </c>
      <c r="C36" s="146" t="s">
        <v>13</v>
      </c>
      <c r="D36" s="144"/>
      <c r="E36" s="145"/>
    </row>
    <row r="37" spans="1:5" ht="12.95" customHeight="1">
      <c r="A37" s="28">
        <v>0</v>
      </c>
      <c r="B37" s="24">
        <v>1</v>
      </c>
      <c r="C37" s="47"/>
      <c r="D37" s="47"/>
      <c r="E37" s="48"/>
    </row>
    <row r="38" spans="1:5" ht="12.95" customHeight="1">
      <c r="A38" s="29">
        <v>5</v>
      </c>
      <c r="B38" s="24">
        <v>1</v>
      </c>
      <c r="C38" s="25"/>
      <c r="D38" s="47"/>
      <c r="E38" s="48"/>
    </row>
    <row r="39" spans="1:5" ht="12.95" customHeight="1">
      <c r="A39" s="29">
        <v>10</v>
      </c>
      <c r="B39" s="24">
        <v>1</v>
      </c>
      <c r="C39" s="25"/>
      <c r="D39" s="47"/>
      <c r="E39" s="48"/>
    </row>
    <row r="40" spans="1:5" ht="12.95" customHeight="1">
      <c r="A40" s="29">
        <v>15</v>
      </c>
      <c r="B40" s="24">
        <v>1</v>
      </c>
      <c r="C40" s="25"/>
      <c r="D40" s="47"/>
      <c r="E40" s="48"/>
    </row>
    <row r="41" spans="1:5" ht="12.95" customHeight="1">
      <c r="A41" s="29">
        <v>20</v>
      </c>
      <c r="B41" s="24">
        <v>1</v>
      </c>
      <c r="C41" s="25"/>
      <c r="D41" s="47"/>
      <c r="E41" s="48"/>
    </row>
    <row r="42" spans="1:5" ht="12.95" customHeight="1">
      <c r="A42" s="29">
        <v>25</v>
      </c>
      <c r="B42" s="24">
        <v>1</v>
      </c>
      <c r="C42" s="25"/>
      <c r="D42" s="47"/>
      <c r="E42" s="48"/>
    </row>
    <row r="43" spans="1:5" ht="12.95" customHeight="1">
      <c r="A43" s="29">
        <v>30</v>
      </c>
      <c r="B43" s="24">
        <v>1</v>
      </c>
      <c r="C43" s="25"/>
      <c r="D43" s="47"/>
      <c r="E43" s="48"/>
    </row>
    <row r="44" spans="1:5" ht="12.95" customHeight="1">
      <c r="A44" s="30">
        <v>32</v>
      </c>
      <c r="B44" s="26">
        <f>-0.00222*(A44^2)+(0.133*A44)-1</f>
        <v>0.98272</v>
      </c>
      <c r="C44" s="25"/>
      <c r="D44" s="47"/>
      <c r="E44" s="48"/>
    </row>
    <row r="45" spans="1:5" ht="12.95" customHeight="1">
      <c r="A45" s="30">
        <v>34</v>
      </c>
      <c r="B45" s="26">
        <f aca="true" t="shared" si="0" ref="B45:B50">-0.00222*(A45^2)+(0.133*A45)-1</f>
        <v>0.9556800000000001</v>
      </c>
      <c r="C45" s="25"/>
      <c r="D45" s="47"/>
      <c r="E45" s="48"/>
    </row>
    <row r="46" spans="1:5" ht="12.95" customHeight="1">
      <c r="A46" s="30">
        <v>36</v>
      </c>
      <c r="B46" s="26">
        <f t="shared" si="0"/>
        <v>0.9108800000000001</v>
      </c>
      <c r="C46" s="25"/>
      <c r="D46" s="47"/>
      <c r="E46" s="48"/>
    </row>
    <row r="47" spans="1:5" ht="12.95" customHeight="1">
      <c r="A47" s="30">
        <v>38</v>
      </c>
      <c r="B47" s="26">
        <f t="shared" si="0"/>
        <v>0.8483200000000002</v>
      </c>
      <c r="C47" s="25"/>
      <c r="D47" s="47"/>
      <c r="E47" s="48"/>
    </row>
    <row r="48" spans="1:5" ht="12.95" customHeight="1">
      <c r="A48" s="30">
        <v>40</v>
      </c>
      <c r="B48" s="26">
        <f t="shared" si="0"/>
        <v>0.7679999999999998</v>
      </c>
      <c r="C48" s="25"/>
      <c r="D48" s="47"/>
      <c r="E48" s="48"/>
    </row>
    <row r="49" spans="1:5" ht="12.95" customHeight="1">
      <c r="A49" s="30">
        <v>42</v>
      </c>
      <c r="B49" s="26">
        <f t="shared" si="0"/>
        <v>0.6699199999999998</v>
      </c>
      <c r="C49" s="25"/>
      <c r="D49" s="47"/>
      <c r="E49" s="48"/>
    </row>
    <row r="50" spans="1:5" ht="12.95" customHeight="1">
      <c r="A50" s="30">
        <v>44</v>
      </c>
      <c r="B50" s="26">
        <f t="shared" si="0"/>
        <v>0.5540799999999999</v>
      </c>
      <c r="C50" s="25"/>
      <c r="D50" s="47"/>
      <c r="E50" s="48"/>
    </row>
    <row r="51" spans="1:5" ht="12.95" customHeight="1">
      <c r="A51" s="31">
        <v>46</v>
      </c>
      <c r="B51" s="27">
        <f aca="true" t="shared" si="1" ref="B51:B56">0.00222*(A51^2)-(0.267*A51)+8</f>
        <v>0.4155200000000008</v>
      </c>
      <c r="C51" s="25"/>
      <c r="D51" s="47"/>
      <c r="E51" s="48"/>
    </row>
    <row r="52" spans="1:5" ht="12.95" customHeight="1">
      <c r="A52" s="31">
        <v>48</v>
      </c>
      <c r="B52" s="27">
        <f t="shared" si="1"/>
        <v>0.2988799999999996</v>
      </c>
      <c r="C52" s="25"/>
      <c r="D52" s="47"/>
      <c r="E52" s="48"/>
    </row>
    <row r="53" spans="1:5" ht="12.95" customHeight="1">
      <c r="A53" s="31">
        <v>50</v>
      </c>
      <c r="B53" s="27">
        <f t="shared" si="1"/>
        <v>0.1999999999999993</v>
      </c>
      <c r="C53" s="25"/>
      <c r="D53" s="47"/>
      <c r="E53" s="48"/>
    </row>
    <row r="54" spans="1:5" ht="12.95" customHeight="1">
      <c r="A54" s="31">
        <v>52</v>
      </c>
      <c r="B54" s="27">
        <f t="shared" si="1"/>
        <v>0.11887999999999987</v>
      </c>
      <c r="C54" s="25"/>
      <c r="D54" s="47"/>
      <c r="E54" s="48"/>
    </row>
    <row r="55" spans="1:5" ht="12.95" customHeight="1">
      <c r="A55" s="31">
        <v>54</v>
      </c>
      <c r="B55" s="27">
        <f t="shared" si="1"/>
        <v>0.05551999999999957</v>
      </c>
      <c r="C55" s="25"/>
      <c r="D55" s="47"/>
      <c r="E55" s="48"/>
    </row>
    <row r="56" spans="1:5" ht="12.95" customHeight="1" thickBot="1">
      <c r="A56" s="51">
        <v>56</v>
      </c>
      <c r="B56" s="52">
        <f t="shared" si="1"/>
        <v>0.009919999999999263</v>
      </c>
      <c r="C56" s="53"/>
      <c r="D56" s="49"/>
      <c r="E56" s="50"/>
    </row>
    <row r="57" ht="12.95" customHeight="1" thickTop="1"/>
    <row r="58" ht="12.95" customHeight="1" thickBot="1"/>
    <row r="59" spans="1:5" ht="30" customHeight="1" thickTop="1">
      <c r="A59" s="8" t="s">
        <v>12</v>
      </c>
      <c r="B59" s="32">
        <v>26</v>
      </c>
      <c r="C59" s="10" t="s">
        <v>10</v>
      </c>
      <c r="D59" s="33" t="s">
        <v>109</v>
      </c>
      <c r="E59" s="34" t="s">
        <v>53</v>
      </c>
    </row>
    <row r="60" spans="1:5" ht="30" customHeight="1">
      <c r="A60" s="13" t="s">
        <v>7</v>
      </c>
      <c r="B60" s="35" t="s">
        <v>112</v>
      </c>
      <c r="C60" s="39"/>
      <c r="D60" s="36" t="s">
        <v>113</v>
      </c>
      <c r="E60" s="40" t="s">
        <v>115</v>
      </c>
    </row>
    <row r="61" spans="1:5" ht="30" customHeight="1">
      <c r="A61" s="13" t="s">
        <v>15</v>
      </c>
      <c r="B61" s="35"/>
      <c r="C61" s="39"/>
      <c r="D61" s="36" t="s">
        <v>114</v>
      </c>
      <c r="E61" s="40" t="s">
        <v>116</v>
      </c>
    </row>
    <row r="62" spans="1:5" ht="30" customHeight="1" thickBot="1">
      <c r="A62" s="13" t="s">
        <v>8</v>
      </c>
      <c r="B62" s="35" t="s">
        <v>99</v>
      </c>
      <c r="C62" s="41"/>
      <c r="D62" s="42"/>
      <c r="E62" s="43"/>
    </row>
    <row r="63" spans="1:5" ht="30" customHeight="1">
      <c r="A63" s="13" t="s">
        <v>9</v>
      </c>
      <c r="B63" s="35" t="s">
        <v>136</v>
      </c>
      <c r="C63" s="4" t="s">
        <v>11</v>
      </c>
      <c r="D63" s="6">
        <v>60</v>
      </c>
      <c r="E63" s="44"/>
    </row>
    <row r="64" spans="1:5" ht="30" customHeight="1" thickBot="1">
      <c r="A64" s="14" t="s">
        <v>16</v>
      </c>
      <c r="B64" s="20" t="s">
        <v>17</v>
      </c>
      <c r="C64" s="5" t="s">
        <v>0</v>
      </c>
      <c r="D64" s="7">
        <f>IF(D63&lt;0,"valor del indicador fuera de rango",IF(D63&lt;=35,1,IF(D63&lt;=50,-0.00222*(D63^2)+(0.156*D63)-1.72,IF(D63&lt;=62,0.00222*(D63^2)-(0.289*D63)+9.39,"valor del indicador fuera rango"))))</f>
        <v>0.04200000000000159</v>
      </c>
      <c r="E64" s="45"/>
    </row>
    <row r="65" spans="1:5" ht="30" customHeight="1">
      <c r="A65" s="15" t="s">
        <v>14</v>
      </c>
      <c r="B65" s="3" t="s">
        <v>0</v>
      </c>
      <c r="C65" s="146" t="s">
        <v>13</v>
      </c>
      <c r="D65" s="144"/>
      <c r="E65" s="145"/>
    </row>
    <row r="66" spans="1:5" ht="12.95" customHeight="1">
      <c r="A66" s="28">
        <v>0</v>
      </c>
      <c r="B66" s="24">
        <v>1</v>
      </c>
      <c r="C66" s="47"/>
      <c r="D66" s="47"/>
      <c r="E66" s="48"/>
    </row>
    <row r="67" spans="1:5" ht="12.95" customHeight="1">
      <c r="A67" s="29">
        <v>5</v>
      </c>
      <c r="B67" s="24">
        <v>1</v>
      </c>
      <c r="C67" s="25"/>
      <c r="D67" s="47"/>
      <c r="E67" s="48"/>
    </row>
    <row r="68" spans="1:5" ht="12.95" customHeight="1">
      <c r="A68" s="29">
        <v>10</v>
      </c>
      <c r="B68" s="24">
        <v>1</v>
      </c>
      <c r="C68" s="25"/>
      <c r="D68" s="47"/>
      <c r="E68" s="48"/>
    </row>
    <row r="69" spans="1:5" ht="12.95" customHeight="1">
      <c r="A69" s="29">
        <v>15</v>
      </c>
      <c r="B69" s="24">
        <v>1</v>
      </c>
      <c r="C69" s="25"/>
      <c r="D69" s="47"/>
      <c r="E69" s="48"/>
    </row>
    <row r="70" spans="1:5" ht="12.95" customHeight="1">
      <c r="A70" s="29">
        <v>20</v>
      </c>
      <c r="B70" s="24">
        <v>1</v>
      </c>
      <c r="C70" s="25"/>
      <c r="D70" s="47"/>
      <c r="E70" s="48"/>
    </row>
    <row r="71" spans="1:5" ht="12.95" customHeight="1">
      <c r="A71" s="29">
        <v>25</v>
      </c>
      <c r="B71" s="24">
        <v>1</v>
      </c>
      <c r="C71" s="25"/>
      <c r="D71" s="47"/>
      <c r="E71" s="48"/>
    </row>
    <row r="72" spans="1:5" ht="12.95" customHeight="1">
      <c r="A72" s="29">
        <v>30</v>
      </c>
      <c r="B72" s="24">
        <v>1</v>
      </c>
      <c r="C72" s="25"/>
      <c r="D72" s="47"/>
      <c r="E72" s="48"/>
    </row>
    <row r="73" spans="1:5" ht="12.95" customHeight="1">
      <c r="A73" s="30">
        <v>36</v>
      </c>
      <c r="B73" s="26">
        <f aca="true" t="shared" si="2" ref="B73:B79">-0.00222*(A73^2)+(0.156*A73)-1.72</f>
        <v>1.0188799999999996</v>
      </c>
      <c r="C73" s="25"/>
      <c r="D73" s="47"/>
      <c r="E73" s="48"/>
    </row>
    <row r="74" spans="1:5" ht="12.95" customHeight="1">
      <c r="A74" s="30">
        <v>38</v>
      </c>
      <c r="B74" s="26">
        <f t="shared" si="2"/>
        <v>1.0023199999999999</v>
      </c>
      <c r="C74" s="25"/>
      <c r="D74" s="47"/>
      <c r="E74" s="48"/>
    </row>
    <row r="75" spans="1:5" ht="12.95" customHeight="1">
      <c r="A75" s="30">
        <v>40</v>
      </c>
      <c r="B75" s="26">
        <f t="shared" si="2"/>
        <v>0.9679999999999997</v>
      </c>
      <c r="C75" s="25"/>
      <c r="D75" s="47"/>
      <c r="E75" s="48"/>
    </row>
    <row r="76" spans="1:5" ht="12.95" customHeight="1">
      <c r="A76" s="30">
        <v>42</v>
      </c>
      <c r="B76" s="26">
        <f t="shared" si="2"/>
        <v>0.9159199999999992</v>
      </c>
      <c r="C76" s="25"/>
      <c r="D76" s="47"/>
      <c r="E76" s="48"/>
    </row>
    <row r="77" spans="1:5" ht="12.95" customHeight="1">
      <c r="A77" s="30">
        <v>44</v>
      </c>
      <c r="B77" s="26">
        <f t="shared" si="2"/>
        <v>0.8460799999999995</v>
      </c>
      <c r="C77" s="25"/>
      <c r="D77" s="47"/>
      <c r="E77" s="48"/>
    </row>
    <row r="78" spans="1:5" ht="12.95" customHeight="1">
      <c r="A78" s="30">
        <v>46</v>
      </c>
      <c r="B78" s="26">
        <f t="shared" si="2"/>
        <v>0.7584799999999994</v>
      </c>
      <c r="C78" s="25"/>
      <c r="D78" s="47"/>
      <c r="E78" s="48"/>
    </row>
    <row r="79" spans="1:5" ht="12.95" customHeight="1">
      <c r="A79" s="30">
        <v>48</v>
      </c>
      <c r="B79" s="26">
        <f t="shared" si="2"/>
        <v>0.6531199999999993</v>
      </c>
      <c r="C79" s="25"/>
      <c r="D79" s="47"/>
      <c r="E79" s="48"/>
    </row>
    <row r="80" spans="1:5" ht="12.95" customHeight="1">
      <c r="A80" s="30">
        <v>50</v>
      </c>
      <c r="B80" s="26">
        <f>-0.00222*(A80^2)+(0.156*A80)-1.72</f>
        <v>0.5299999999999991</v>
      </c>
      <c r="C80" s="25"/>
      <c r="D80" s="47"/>
      <c r="E80" s="48"/>
    </row>
    <row r="81" spans="1:5" ht="12.95" customHeight="1">
      <c r="A81" s="31">
        <v>52</v>
      </c>
      <c r="B81" s="27">
        <f>0.00222*(A81^2)-(0.289*A81)+9.39</f>
        <v>0.364880000000003</v>
      </c>
      <c r="C81" s="25"/>
      <c r="D81" s="47"/>
      <c r="E81" s="48"/>
    </row>
    <row r="82" spans="1:5" ht="12.95" customHeight="1">
      <c r="A82" s="31">
        <v>56</v>
      </c>
      <c r="B82" s="27">
        <f>0.00222*(A82^2)-(0.289*A82)+9.39</f>
        <v>0.16792000000000407</v>
      </c>
      <c r="C82" s="25"/>
      <c r="D82" s="47"/>
      <c r="E82" s="48"/>
    </row>
    <row r="83" spans="1:5" ht="12.95" customHeight="1">
      <c r="A83" s="31">
        <f>+A82+2</f>
        <v>58</v>
      </c>
      <c r="B83" s="27">
        <f>0.00222*(A83^2)-(0.289*A83)+9.39</f>
        <v>0.09608000000000061</v>
      </c>
      <c r="C83" s="25"/>
      <c r="D83" s="47"/>
      <c r="E83" s="48"/>
    </row>
    <row r="84" spans="1:5" ht="12.95" customHeight="1">
      <c r="A84" s="31">
        <f>+A83+2</f>
        <v>60</v>
      </c>
      <c r="B84" s="27">
        <f>0.00222*(A84^2)-(0.289*A84)+9.39</f>
        <v>0.04200000000000159</v>
      </c>
      <c r="C84" s="25"/>
      <c r="D84" s="47"/>
      <c r="E84" s="48"/>
    </row>
    <row r="85" spans="1:5" ht="12.95" customHeight="1">
      <c r="A85" s="31">
        <f>+A84+2</f>
        <v>62</v>
      </c>
      <c r="B85" s="27">
        <f>0.00222*(A85^2)-(0.289*A85)+9.39</f>
        <v>0.005680000000001684</v>
      </c>
      <c r="C85" s="25"/>
      <c r="D85" s="47"/>
      <c r="E85" s="48"/>
    </row>
    <row r="87" ht="12.95" customHeight="1" thickBot="1"/>
    <row r="88" spans="1:5" ht="30" customHeight="1" thickTop="1">
      <c r="A88" s="8" t="s">
        <v>12</v>
      </c>
      <c r="B88" s="32">
        <v>27</v>
      </c>
      <c r="C88" s="10" t="s">
        <v>10</v>
      </c>
      <c r="D88" s="33" t="s">
        <v>109</v>
      </c>
      <c r="E88" s="34" t="s">
        <v>53</v>
      </c>
    </row>
    <row r="89" spans="1:5" ht="30" customHeight="1">
      <c r="A89" s="13" t="s">
        <v>7</v>
      </c>
      <c r="B89" s="35" t="s">
        <v>117</v>
      </c>
      <c r="C89" s="39"/>
      <c r="D89" s="36" t="s">
        <v>118</v>
      </c>
      <c r="E89" s="40" t="s">
        <v>59</v>
      </c>
    </row>
    <row r="90" spans="1:5" ht="30" customHeight="1">
      <c r="A90" s="13" t="s">
        <v>15</v>
      </c>
      <c r="B90" s="35"/>
      <c r="C90" s="39"/>
      <c r="D90" s="36" t="s">
        <v>119</v>
      </c>
      <c r="E90" s="40" t="s">
        <v>68</v>
      </c>
    </row>
    <row r="91" spans="1:5" ht="30" customHeight="1" thickBot="1">
      <c r="A91" s="13" t="s">
        <v>8</v>
      </c>
      <c r="B91" s="35" t="s">
        <v>99</v>
      </c>
      <c r="C91" s="41"/>
      <c r="D91" s="42"/>
      <c r="E91" s="43"/>
    </row>
    <row r="92" spans="1:5" ht="30" customHeight="1">
      <c r="A92" s="13" t="s">
        <v>9</v>
      </c>
      <c r="B92" s="35" t="s">
        <v>84</v>
      </c>
      <c r="C92" s="4" t="s">
        <v>11</v>
      </c>
      <c r="D92" s="6">
        <v>58</v>
      </c>
      <c r="E92" s="44"/>
    </row>
    <row r="93" spans="1:5" ht="30" customHeight="1" thickBot="1">
      <c r="A93" s="14" t="s">
        <v>16</v>
      </c>
      <c r="B93" s="20" t="s">
        <v>17</v>
      </c>
      <c r="C93" s="5" t="s">
        <v>0</v>
      </c>
      <c r="D93" s="7">
        <f>IF(D92&lt;0,"valor del indicador fuera de rango",IF(D92&lt;=35,1,IF(D92&lt;=52.5,-0.00163*(D92^2)+(0.114*D92)-1,IF(D92&lt;=65,0.00163*(D92^2)-(0.229*D92)+8,"valor del indicador fuera rango"))))</f>
        <v>0.20131999999999994</v>
      </c>
      <c r="E93" s="45"/>
    </row>
    <row r="94" spans="1:5" ht="30" customHeight="1">
      <c r="A94" s="15" t="s">
        <v>14</v>
      </c>
      <c r="B94" s="3" t="s">
        <v>0</v>
      </c>
      <c r="C94" s="146" t="s">
        <v>13</v>
      </c>
      <c r="D94" s="144"/>
      <c r="E94" s="145"/>
    </row>
    <row r="95" spans="1:5" ht="12.95" customHeight="1">
      <c r="A95" s="29">
        <v>0</v>
      </c>
      <c r="B95" s="104">
        <v>1</v>
      </c>
      <c r="C95" s="47"/>
      <c r="D95" s="47"/>
      <c r="E95" s="48"/>
    </row>
    <row r="96" spans="1:5" ht="12.95" customHeight="1">
      <c r="A96" s="29">
        <v>5</v>
      </c>
      <c r="B96" s="135">
        <v>1</v>
      </c>
      <c r="C96" s="25"/>
      <c r="D96" s="47"/>
      <c r="E96" s="48"/>
    </row>
    <row r="97" spans="1:5" ht="12.95" customHeight="1">
      <c r="A97" s="29">
        <v>10</v>
      </c>
      <c r="B97" s="135">
        <v>1</v>
      </c>
      <c r="C97" s="25"/>
      <c r="D97" s="47"/>
      <c r="E97" s="48"/>
    </row>
    <row r="98" spans="1:5" ht="12.95" customHeight="1">
      <c r="A98" s="29">
        <v>15</v>
      </c>
      <c r="B98" s="135">
        <v>1</v>
      </c>
      <c r="C98" s="25"/>
      <c r="D98" s="47"/>
      <c r="E98" s="48"/>
    </row>
    <row r="99" spans="1:5" ht="12.95" customHeight="1">
      <c r="A99" s="29">
        <v>20</v>
      </c>
      <c r="B99" s="135">
        <v>1</v>
      </c>
      <c r="C99" s="25"/>
      <c r="D99" s="47"/>
      <c r="E99" s="48"/>
    </row>
    <row r="100" spans="1:5" ht="12.95" customHeight="1">
      <c r="A100" s="29">
        <v>25</v>
      </c>
      <c r="B100" s="135">
        <v>1</v>
      </c>
      <c r="C100" s="25"/>
      <c r="D100" s="47"/>
      <c r="E100" s="48"/>
    </row>
    <row r="101" spans="1:5" ht="12.95" customHeight="1">
      <c r="A101" s="29">
        <v>30</v>
      </c>
      <c r="B101" s="135">
        <v>1</v>
      </c>
      <c r="C101" s="25"/>
      <c r="D101" s="47"/>
      <c r="E101" s="48"/>
    </row>
    <row r="102" spans="1:5" ht="12.95" customHeight="1">
      <c r="A102" s="30">
        <v>36</v>
      </c>
      <c r="B102" s="136">
        <f>-0.00163*(A102^2)+(0.114*A102)-1</f>
        <v>0.99152</v>
      </c>
      <c r="C102" s="25"/>
      <c r="D102" s="47"/>
      <c r="E102" s="48"/>
    </row>
    <row r="103" spans="1:5" ht="12.95" customHeight="1">
      <c r="A103" s="30">
        <v>38</v>
      </c>
      <c r="B103" s="136">
        <f aca="true" t="shared" si="3" ref="B103:B109">-0.00163*(A103^2)+(0.114*A103)-1</f>
        <v>0.9782799999999998</v>
      </c>
      <c r="C103" s="25"/>
      <c r="D103" s="47"/>
      <c r="E103" s="48"/>
    </row>
    <row r="104" spans="1:5" ht="12.95" customHeight="1">
      <c r="A104" s="30">
        <v>40</v>
      </c>
      <c r="B104" s="136">
        <f t="shared" si="3"/>
        <v>0.9520000000000004</v>
      </c>
      <c r="C104" s="25"/>
      <c r="D104" s="47"/>
      <c r="E104" s="48"/>
    </row>
    <row r="105" spans="1:5" ht="12.95" customHeight="1">
      <c r="A105" s="30">
        <v>42</v>
      </c>
      <c r="B105" s="136">
        <f t="shared" si="3"/>
        <v>0.9126800000000004</v>
      </c>
      <c r="C105" s="25"/>
      <c r="D105" s="47"/>
      <c r="E105" s="48"/>
    </row>
    <row r="106" spans="1:5" ht="12.95" customHeight="1">
      <c r="A106" s="30">
        <v>44</v>
      </c>
      <c r="B106" s="136">
        <f t="shared" si="3"/>
        <v>0.8603200000000002</v>
      </c>
      <c r="C106" s="25"/>
      <c r="D106" s="47"/>
      <c r="E106" s="48"/>
    </row>
    <row r="107" spans="1:5" ht="12.95" customHeight="1">
      <c r="A107" s="30">
        <v>46</v>
      </c>
      <c r="B107" s="136">
        <f t="shared" si="3"/>
        <v>0.7949199999999998</v>
      </c>
      <c r="C107" s="25"/>
      <c r="D107" s="47"/>
      <c r="E107" s="48"/>
    </row>
    <row r="108" spans="1:5" ht="12.95" customHeight="1">
      <c r="A108" s="30">
        <v>48</v>
      </c>
      <c r="B108" s="136">
        <f t="shared" si="3"/>
        <v>0.7164800000000007</v>
      </c>
      <c r="C108" s="25"/>
      <c r="D108" s="47"/>
      <c r="E108" s="48"/>
    </row>
    <row r="109" spans="1:5" ht="12.95" customHeight="1">
      <c r="A109" s="30">
        <v>50</v>
      </c>
      <c r="B109" s="136">
        <f t="shared" si="3"/>
        <v>0.625</v>
      </c>
      <c r="C109" s="25"/>
      <c r="D109" s="47"/>
      <c r="E109" s="48"/>
    </row>
    <row r="110" spans="1:5" ht="12.95" customHeight="1">
      <c r="A110" s="31">
        <v>52</v>
      </c>
      <c r="B110" s="137">
        <f>0.00163*(A110^2)-(0.229*A110)+8</f>
        <v>0.49951999999999863</v>
      </c>
      <c r="C110" s="25"/>
      <c r="D110" s="47"/>
      <c r="E110" s="48"/>
    </row>
    <row r="111" spans="1:5" ht="12.95" customHeight="1">
      <c r="A111" s="31">
        <v>56</v>
      </c>
      <c r="B111" s="137">
        <f>0.00163*(A111^2)-(0.229*A111)+8</f>
        <v>0.28767999999999994</v>
      </c>
      <c r="C111" s="25"/>
      <c r="D111" s="47"/>
      <c r="E111" s="48"/>
    </row>
    <row r="112" spans="1:5" ht="12.95" customHeight="1">
      <c r="A112" s="31">
        <f>+A111+2</f>
        <v>58</v>
      </c>
      <c r="B112" s="137">
        <f>0.00163*(A112^2)-(0.229*A112)+8</f>
        <v>0.20131999999999994</v>
      </c>
      <c r="C112" s="25"/>
      <c r="D112" s="47"/>
      <c r="E112" s="48"/>
    </row>
    <row r="113" spans="1:5" ht="12.95" customHeight="1">
      <c r="A113" s="31">
        <f>+A112+2</f>
        <v>60</v>
      </c>
      <c r="B113" s="137">
        <f>0.00163*(A113^2)-(0.229*A113)+8</f>
        <v>0.12799999999999923</v>
      </c>
      <c r="C113" s="25"/>
      <c r="D113" s="47"/>
      <c r="E113" s="48"/>
    </row>
    <row r="114" spans="1:5" ht="12.95" customHeight="1" thickBot="1">
      <c r="A114" s="51">
        <v>65</v>
      </c>
      <c r="B114" s="138">
        <f>0.00163*(A114^2)-(0.229*A114)+8</f>
        <v>0.0017500000000003624</v>
      </c>
      <c r="C114" s="53"/>
      <c r="D114" s="49"/>
      <c r="E114" s="50"/>
    </row>
    <row r="115" ht="12.95" customHeight="1" thickTop="1"/>
    <row r="116" ht="12.95" customHeight="1" thickBot="1"/>
    <row r="117" spans="1:5" ht="30" customHeight="1" thickTop="1">
      <c r="A117" s="8" t="s">
        <v>12</v>
      </c>
      <c r="B117" s="32">
        <v>28</v>
      </c>
      <c r="C117" s="10" t="s">
        <v>10</v>
      </c>
      <c r="D117" s="33" t="s">
        <v>109</v>
      </c>
      <c r="E117" s="34" t="s">
        <v>52</v>
      </c>
    </row>
    <row r="118" spans="1:5" ht="30" customHeight="1">
      <c r="A118" s="13" t="s">
        <v>7</v>
      </c>
      <c r="B118" s="35" t="s">
        <v>120</v>
      </c>
      <c r="C118" s="39"/>
      <c r="D118" s="36" t="s">
        <v>118</v>
      </c>
      <c r="E118" s="40" t="s">
        <v>121</v>
      </c>
    </row>
    <row r="119" spans="1:5" ht="30" customHeight="1">
      <c r="A119" s="13" t="s">
        <v>15</v>
      </c>
      <c r="B119" s="35"/>
      <c r="C119" s="39"/>
      <c r="D119" s="36" t="s">
        <v>119</v>
      </c>
      <c r="E119" s="40" t="s">
        <v>122</v>
      </c>
    </row>
    <row r="120" spans="1:5" ht="30" customHeight="1" thickBot="1">
      <c r="A120" s="13" t="s">
        <v>8</v>
      </c>
      <c r="B120" s="35" t="s">
        <v>99</v>
      </c>
      <c r="C120" s="41"/>
      <c r="D120" s="42"/>
      <c r="E120" s="43"/>
    </row>
    <row r="121" spans="1:5" ht="30" customHeight="1">
      <c r="A121" s="13" t="s">
        <v>9</v>
      </c>
      <c r="B121" s="35" t="s">
        <v>137</v>
      </c>
      <c r="C121" s="4" t="s">
        <v>11</v>
      </c>
      <c r="D121" s="6">
        <v>58</v>
      </c>
      <c r="E121" s="44"/>
    </row>
    <row r="122" spans="1:5" ht="30" customHeight="1" thickBot="1">
      <c r="A122" s="14" t="s">
        <v>16</v>
      </c>
      <c r="B122" s="20" t="s">
        <v>17</v>
      </c>
      <c r="C122" s="5" t="s">
        <v>0</v>
      </c>
      <c r="D122" s="7">
        <f>IF(D121&lt;0,"valor del indicador fuera de rango",IF(D121&lt;=30,1,IF(D121&lt;=57.5,-0.000661*(D121^2)+(0.0397*D121)+0.405,IF(D121&lt;=85,0.000661*(D121^2)-(0.112*D121)+4.78,"valor del indicador fuera rango"))))</f>
        <v>0.5076039999999997</v>
      </c>
      <c r="E122" s="45"/>
    </row>
    <row r="123" spans="1:5" ht="30" customHeight="1">
      <c r="A123" s="15" t="s">
        <v>14</v>
      </c>
      <c r="B123" s="3" t="s">
        <v>0</v>
      </c>
      <c r="C123" s="146" t="s">
        <v>13</v>
      </c>
      <c r="D123" s="144"/>
      <c r="E123" s="145"/>
    </row>
    <row r="124" spans="1:5" ht="12.95" customHeight="1">
      <c r="A124" s="113">
        <v>0</v>
      </c>
      <c r="B124" s="24">
        <v>1</v>
      </c>
      <c r="C124" s="47"/>
      <c r="D124" s="47"/>
      <c r="E124" s="48"/>
    </row>
    <row r="125" spans="1:5" ht="12.95" customHeight="1">
      <c r="A125" s="114">
        <v>10</v>
      </c>
      <c r="B125" s="24">
        <v>1</v>
      </c>
      <c r="C125" s="25"/>
      <c r="D125" s="47"/>
      <c r="E125" s="48"/>
    </row>
    <row r="126" spans="1:5" ht="12.95" customHeight="1">
      <c r="A126" s="114">
        <v>20</v>
      </c>
      <c r="B126" s="24">
        <v>1</v>
      </c>
      <c r="C126" s="25"/>
      <c r="D126" s="47"/>
      <c r="E126" s="48"/>
    </row>
    <row r="127" spans="1:5" ht="12.95" customHeight="1">
      <c r="A127" s="114">
        <v>30</v>
      </c>
      <c r="B127" s="24">
        <v>1</v>
      </c>
      <c r="C127" s="25"/>
      <c r="D127" s="47"/>
      <c r="E127" s="48"/>
    </row>
    <row r="128" spans="1:5" ht="12.95" customHeight="1">
      <c r="A128" s="115">
        <v>35</v>
      </c>
      <c r="B128" s="26">
        <f>-0.000661*(A128^2)+(0.0397*A128)+0.405</f>
        <v>0.984775</v>
      </c>
      <c r="C128" s="25"/>
      <c r="D128" s="47"/>
      <c r="E128" s="48"/>
    </row>
    <row r="129" spans="1:5" ht="12.95" customHeight="1">
      <c r="A129" s="115">
        <v>37</v>
      </c>
      <c r="B129" s="26">
        <f aca="true" t="shared" si="4" ref="B129:B137">-0.000661*(A129^2)+(0.0397*A129)+0.405</f>
        <v>0.9689909999999998</v>
      </c>
      <c r="C129" s="25"/>
      <c r="D129" s="47"/>
      <c r="E129" s="48"/>
    </row>
    <row r="130" spans="1:5" ht="12.95" customHeight="1">
      <c r="A130" s="115">
        <v>40</v>
      </c>
      <c r="B130" s="26">
        <f t="shared" si="4"/>
        <v>0.9354</v>
      </c>
      <c r="C130" s="25"/>
      <c r="D130" s="47"/>
      <c r="E130" s="48"/>
    </row>
    <row r="131" spans="1:5" ht="12.95" customHeight="1">
      <c r="A131" s="115">
        <v>42</v>
      </c>
      <c r="B131" s="26">
        <f t="shared" si="4"/>
        <v>0.906396</v>
      </c>
      <c r="C131" s="25"/>
      <c r="D131" s="47"/>
      <c r="E131" s="48"/>
    </row>
    <row r="132" spans="1:5" ht="12.95" customHeight="1">
      <c r="A132" s="115">
        <v>45</v>
      </c>
      <c r="B132" s="26">
        <f t="shared" si="4"/>
        <v>0.852975</v>
      </c>
      <c r="C132" s="25"/>
      <c r="D132" s="47"/>
      <c r="E132" s="48"/>
    </row>
    <row r="133" spans="1:5" ht="12.95" customHeight="1">
      <c r="A133" s="115">
        <v>47</v>
      </c>
      <c r="B133" s="26">
        <f t="shared" si="4"/>
        <v>0.8107509999999998</v>
      </c>
      <c r="C133" s="25"/>
      <c r="D133" s="47"/>
      <c r="E133" s="48"/>
    </row>
    <row r="134" spans="1:5" ht="12.95" customHeight="1">
      <c r="A134" s="115">
        <v>50</v>
      </c>
      <c r="B134" s="26">
        <f t="shared" si="4"/>
        <v>0.7374999999999998</v>
      </c>
      <c r="C134" s="25"/>
      <c r="D134" s="47"/>
      <c r="E134" s="48"/>
    </row>
    <row r="135" spans="1:5" ht="12.95" customHeight="1">
      <c r="A135" s="115">
        <v>52</v>
      </c>
      <c r="B135" s="26">
        <f t="shared" si="4"/>
        <v>0.682056</v>
      </c>
      <c r="C135" s="25"/>
      <c r="D135" s="47"/>
      <c r="E135" s="48"/>
    </row>
    <row r="136" spans="1:5" ht="12.95" customHeight="1">
      <c r="A136" s="115">
        <v>55</v>
      </c>
      <c r="B136" s="26">
        <f t="shared" si="4"/>
        <v>0.588975</v>
      </c>
      <c r="C136" s="25"/>
      <c r="D136" s="47"/>
      <c r="E136" s="48"/>
    </row>
    <row r="137" spans="1:5" ht="12.95" customHeight="1">
      <c r="A137" s="115">
        <v>57</v>
      </c>
      <c r="B137" s="26">
        <f t="shared" si="4"/>
        <v>0.5203110000000002</v>
      </c>
      <c r="C137" s="25"/>
      <c r="D137" s="47"/>
      <c r="E137" s="48"/>
    </row>
    <row r="138" spans="1:5" ht="12.95" customHeight="1">
      <c r="A138" s="117">
        <v>60</v>
      </c>
      <c r="B138" s="27">
        <f aca="true" t="shared" si="5" ref="B138:B146">0.000661*(A138^2)-(0.112*A138)+4.78</f>
        <v>0.43960000000000043</v>
      </c>
      <c r="C138" s="25"/>
      <c r="D138" s="47"/>
      <c r="E138" s="48"/>
    </row>
    <row r="139" spans="1:5" ht="12.95" customHeight="1">
      <c r="A139" s="117">
        <v>62</v>
      </c>
      <c r="B139" s="27">
        <f t="shared" si="5"/>
        <v>0.37688400000000044</v>
      </c>
      <c r="C139" s="25"/>
      <c r="D139" s="47"/>
      <c r="E139" s="48"/>
    </row>
    <row r="140" spans="1:5" ht="12.95" customHeight="1">
      <c r="A140" s="117">
        <v>65</v>
      </c>
      <c r="B140" s="27">
        <f t="shared" si="5"/>
        <v>0.2927249999999999</v>
      </c>
      <c r="C140" s="25"/>
      <c r="D140" s="47"/>
      <c r="E140" s="48"/>
    </row>
    <row r="141" spans="1:5" ht="12.95" customHeight="1">
      <c r="A141" s="117">
        <v>67</v>
      </c>
      <c r="B141" s="27">
        <f t="shared" si="5"/>
        <v>0.24322900000000036</v>
      </c>
      <c r="C141" s="25"/>
      <c r="D141" s="47"/>
      <c r="E141" s="48"/>
    </row>
    <row r="142" spans="1:5" ht="12.95" customHeight="1">
      <c r="A142" s="117">
        <v>70</v>
      </c>
      <c r="B142" s="27">
        <f t="shared" si="5"/>
        <v>0.1789000000000005</v>
      </c>
      <c r="C142" s="25"/>
      <c r="D142" s="47"/>
      <c r="E142" s="48"/>
    </row>
    <row r="143" spans="1:5" ht="12.95" customHeight="1">
      <c r="A143" s="117">
        <v>72</v>
      </c>
      <c r="B143" s="27">
        <f t="shared" si="5"/>
        <v>0.14262400000000053</v>
      </c>
      <c r="C143" s="25"/>
      <c r="D143" s="47"/>
      <c r="E143" s="48"/>
    </row>
    <row r="144" spans="1:5" ht="12.95" customHeight="1">
      <c r="A144" s="117">
        <v>75</v>
      </c>
      <c r="B144" s="27">
        <f t="shared" si="5"/>
        <v>0.09812500000000046</v>
      </c>
      <c r="C144" s="25"/>
      <c r="D144" s="47"/>
      <c r="E144" s="48"/>
    </row>
    <row r="145" spans="1:5" ht="12.95" customHeight="1">
      <c r="A145" s="117">
        <v>80</v>
      </c>
      <c r="B145" s="27">
        <f t="shared" si="5"/>
        <v>0.05039999999999978</v>
      </c>
      <c r="C145" s="25"/>
      <c r="D145" s="47"/>
      <c r="E145" s="48"/>
    </row>
    <row r="146" spans="1:5" ht="12.95" customHeight="1" thickBot="1">
      <c r="A146" s="119">
        <v>85</v>
      </c>
      <c r="B146" s="52">
        <f t="shared" si="5"/>
        <v>0.03572500000000112</v>
      </c>
      <c r="C146" s="53"/>
      <c r="D146" s="49"/>
      <c r="E146" s="50"/>
    </row>
    <row r="147" ht="12.95" customHeight="1" thickTop="1"/>
    <row r="148" ht="12.95" customHeight="1" thickBot="1"/>
    <row r="149" spans="1:5" ht="30" customHeight="1" thickTop="1">
      <c r="A149" s="8" t="s">
        <v>12</v>
      </c>
      <c r="B149" s="32">
        <v>29</v>
      </c>
      <c r="C149" s="10" t="s">
        <v>10</v>
      </c>
      <c r="D149" s="33" t="s">
        <v>109</v>
      </c>
      <c r="E149" s="34" t="s">
        <v>52</v>
      </c>
    </row>
    <row r="150" spans="1:5" ht="30" customHeight="1">
      <c r="A150" s="13" t="s">
        <v>7</v>
      </c>
      <c r="B150" s="35" t="s">
        <v>129</v>
      </c>
      <c r="C150" s="39"/>
      <c r="D150" s="36" t="s">
        <v>130</v>
      </c>
      <c r="E150" s="40" t="s">
        <v>121</v>
      </c>
    </row>
    <row r="151" spans="1:5" ht="30" customHeight="1">
      <c r="A151" s="13" t="s">
        <v>15</v>
      </c>
      <c r="B151" s="35"/>
      <c r="C151" s="39"/>
      <c r="D151" s="36" t="s">
        <v>131</v>
      </c>
      <c r="E151" s="40" t="s">
        <v>122</v>
      </c>
    </row>
    <row r="152" spans="1:5" ht="30" customHeight="1" thickBot="1">
      <c r="A152" s="13" t="s">
        <v>8</v>
      </c>
      <c r="B152" s="35" t="s">
        <v>99</v>
      </c>
      <c r="C152" s="41"/>
      <c r="D152" s="42"/>
      <c r="E152" s="43"/>
    </row>
    <row r="153" spans="1:5" ht="30" customHeight="1">
      <c r="A153" s="13" t="s">
        <v>9</v>
      </c>
      <c r="B153" s="35" t="s">
        <v>137</v>
      </c>
      <c r="C153" s="4" t="s">
        <v>11</v>
      </c>
      <c r="D153" s="6">
        <v>35</v>
      </c>
      <c r="E153" s="44"/>
    </row>
    <row r="154" spans="1:5" ht="30" customHeight="1" thickBot="1">
      <c r="A154" s="14" t="s">
        <v>16</v>
      </c>
      <c r="B154" s="20" t="s">
        <v>17</v>
      </c>
      <c r="C154" s="5" t="s">
        <v>0</v>
      </c>
      <c r="D154" s="7">
        <f>IF(D153&lt;0,"valor del indicador fuera de rango",IF(D153&lt;=30,1,IF(D153&lt;=57.5,-0.000661*(D153^2)+(0.0397*D153)+0.405,IF(D153&lt;=85,0.000661*(D153^2)-(0.112*D153)+4.78,"valor del indicador fuera rango"))))</f>
        <v>0.984775</v>
      </c>
      <c r="E154" s="45"/>
    </row>
    <row r="155" spans="1:5" ht="30" customHeight="1">
      <c r="A155" s="15" t="s">
        <v>14</v>
      </c>
      <c r="B155" s="3" t="s">
        <v>0</v>
      </c>
      <c r="C155" s="146" t="s">
        <v>13</v>
      </c>
      <c r="D155" s="144"/>
      <c r="E155" s="145"/>
    </row>
    <row r="156" spans="1:5" ht="12.95" customHeight="1">
      <c r="A156" s="113">
        <v>0</v>
      </c>
      <c r="B156" s="24">
        <v>1</v>
      </c>
      <c r="C156" s="47"/>
      <c r="D156" s="47"/>
      <c r="E156" s="48"/>
    </row>
    <row r="157" spans="1:5" ht="12.95" customHeight="1">
      <c r="A157" s="114">
        <v>10</v>
      </c>
      <c r="B157" s="24">
        <v>1</v>
      </c>
      <c r="C157" s="25"/>
      <c r="D157" s="47"/>
      <c r="E157" s="48"/>
    </row>
    <row r="158" spans="1:5" ht="12.95" customHeight="1">
      <c r="A158" s="114">
        <v>20</v>
      </c>
      <c r="B158" s="24">
        <v>1</v>
      </c>
      <c r="C158" s="25"/>
      <c r="D158" s="47"/>
      <c r="E158" s="48"/>
    </row>
    <row r="159" spans="1:5" ht="12.95" customHeight="1">
      <c r="A159" s="114">
        <v>30</v>
      </c>
      <c r="B159" s="24">
        <v>1</v>
      </c>
      <c r="C159" s="25"/>
      <c r="D159" s="47"/>
      <c r="E159" s="48"/>
    </row>
    <row r="160" spans="1:5" ht="12.95" customHeight="1">
      <c r="A160" s="115">
        <v>35</v>
      </c>
      <c r="B160" s="26">
        <f>-0.000661*(A160^2)+(0.0397*A160)+0.405</f>
        <v>0.984775</v>
      </c>
      <c r="C160" s="25"/>
      <c r="D160" s="47"/>
      <c r="E160" s="48"/>
    </row>
    <row r="161" spans="1:5" ht="12.95" customHeight="1">
      <c r="A161" s="115">
        <v>37</v>
      </c>
      <c r="B161" s="26">
        <f aca="true" t="shared" si="6" ref="B161:B168">-0.000661*(A161^2)+(0.0397*A161)+0.405</f>
        <v>0.9689909999999998</v>
      </c>
      <c r="C161" s="25"/>
      <c r="D161" s="47"/>
      <c r="E161" s="48"/>
    </row>
    <row r="162" spans="1:5" ht="12.95" customHeight="1">
      <c r="A162" s="115">
        <v>40</v>
      </c>
      <c r="B162" s="26">
        <f t="shared" si="6"/>
        <v>0.9354</v>
      </c>
      <c r="C162" s="25"/>
      <c r="D162" s="47"/>
      <c r="E162" s="48"/>
    </row>
    <row r="163" spans="1:5" ht="12.95" customHeight="1">
      <c r="A163" s="115">
        <v>42</v>
      </c>
      <c r="B163" s="26">
        <f t="shared" si="6"/>
        <v>0.906396</v>
      </c>
      <c r="C163" s="25"/>
      <c r="D163" s="47"/>
      <c r="E163" s="48"/>
    </row>
    <row r="164" spans="1:5" ht="12.95" customHeight="1">
      <c r="A164" s="115">
        <v>45</v>
      </c>
      <c r="B164" s="26">
        <f t="shared" si="6"/>
        <v>0.852975</v>
      </c>
      <c r="C164" s="25"/>
      <c r="D164" s="47"/>
      <c r="E164" s="48"/>
    </row>
    <row r="165" spans="1:5" ht="12.95" customHeight="1">
      <c r="A165" s="115">
        <v>47</v>
      </c>
      <c r="B165" s="26">
        <f t="shared" si="6"/>
        <v>0.8107509999999998</v>
      </c>
      <c r="C165" s="25"/>
      <c r="D165" s="47"/>
      <c r="E165" s="48"/>
    </row>
    <row r="166" spans="1:5" ht="12.95" customHeight="1">
      <c r="A166" s="115">
        <v>50</v>
      </c>
      <c r="B166" s="26">
        <f t="shared" si="6"/>
        <v>0.7374999999999998</v>
      </c>
      <c r="C166" s="25"/>
      <c r="D166" s="47"/>
      <c r="E166" s="48"/>
    </row>
    <row r="167" spans="1:5" ht="12.95" customHeight="1">
      <c r="A167" s="115">
        <v>52</v>
      </c>
      <c r="B167" s="26">
        <f t="shared" si="6"/>
        <v>0.682056</v>
      </c>
      <c r="C167" s="25"/>
      <c r="D167" s="47"/>
      <c r="E167" s="48"/>
    </row>
    <row r="168" spans="1:5" ht="12.95" customHeight="1">
      <c r="A168" s="115">
        <v>55</v>
      </c>
      <c r="B168" s="26">
        <f t="shared" si="6"/>
        <v>0.588975</v>
      </c>
      <c r="C168" s="25"/>
      <c r="D168" s="47"/>
      <c r="E168" s="48"/>
    </row>
    <row r="169" spans="1:5" ht="12.95" customHeight="1">
      <c r="A169" s="117">
        <v>60</v>
      </c>
      <c r="B169" s="27">
        <f aca="true" t="shared" si="7" ref="B169:B176">0.000661*(A169^2)-(0.112*A169)+4.78</f>
        <v>0.43960000000000043</v>
      </c>
      <c r="C169" s="25"/>
      <c r="D169" s="47"/>
      <c r="E169" s="48"/>
    </row>
    <row r="170" spans="1:5" ht="12.95" customHeight="1">
      <c r="A170" s="117">
        <v>65</v>
      </c>
      <c r="B170" s="27">
        <f t="shared" si="7"/>
        <v>0.2927249999999999</v>
      </c>
      <c r="C170" s="25"/>
      <c r="D170" s="47"/>
      <c r="E170" s="48"/>
    </row>
    <row r="171" spans="1:5" ht="12.95" customHeight="1">
      <c r="A171" s="117">
        <v>67</v>
      </c>
      <c r="B171" s="27">
        <f t="shared" si="7"/>
        <v>0.24322900000000036</v>
      </c>
      <c r="C171" s="25"/>
      <c r="D171" s="47"/>
      <c r="E171" s="48"/>
    </row>
    <row r="172" spans="1:5" ht="12.95" customHeight="1">
      <c r="A172" s="117">
        <v>70</v>
      </c>
      <c r="B172" s="27">
        <f t="shared" si="7"/>
        <v>0.1789000000000005</v>
      </c>
      <c r="C172" s="25"/>
      <c r="D172" s="47"/>
      <c r="E172" s="48"/>
    </row>
    <row r="173" spans="1:5" ht="12.95" customHeight="1">
      <c r="A173" s="117">
        <v>72</v>
      </c>
      <c r="B173" s="27">
        <f t="shared" si="7"/>
        <v>0.14262400000000053</v>
      </c>
      <c r="C173" s="25"/>
      <c r="D173" s="47"/>
      <c r="E173" s="48"/>
    </row>
    <row r="174" spans="1:5" ht="12.95" customHeight="1">
      <c r="A174" s="117">
        <v>75</v>
      </c>
      <c r="B174" s="27">
        <f t="shared" si="7"/>
        <v>0.09812500000000046</v>
      </c>
      <c r="C174" s="25"/>
      <c r="D174" s="47"/>
      <c r="E174" s="48"/>
    </row>
    <row r="175" spans="1:5" ht="12.95" customHeight="1">
      <c r="A175" s="117">
        <v>80</v>
      </c>
      <c r="B175" s="27">
        <f t="shared" si="7"/>
        <v>0.05039999999999978</v>
      </c>
      <c r="C175" s="25"/>
      <c r="D175" s="47"/>
      <c r="E175" s="48"/>
    </row>
    <row r="176" spans="1:5" ht="12.95" customHeight="1" thickBot="1">
      <c r="A176" s="119">
        <v>85</v>
      </c>
      <c r="B176" s="52">
        <f t="shared" si="7"/>
        <v>0.03572500000000112</v>
      </c>
      <c r="C176" s="53"/>
      <c r="D176" s="49"/>
      <c r="E176" s="50"/>
    </row>
    <row r="177" ht="12.95" customHeight="1" thickTop="1"/>
    <row r="178" ht="12.95" customHeight="1" thickBot="1"/>
    <row r="179" spans="1:5" ht="30" customHeight="1" thickTop="1">
      <c r="A179" s="8" t="s">
        <v>12</v>
      </c>
      <c r="B179" s="32">
        <v>30</v>
      </c>
      <c r="C179" s="10" t="s">
        <v>10</v>
      </c>
      <c r="D179" s="33" t="s">
        <v>133</v>
      </c>
      <c r="E179" s="34" t="s">
        <v>23</v>
      </c>
    </row>
    <row r="180" spans="1:5" ht="30" customHeight="1">
      <c r="A180" s="13" t="s">
        <v>7</v>
      </c>
      <c r="B180" s="35" t="s">
        <v>132</v>
      </c>
      <c r="C180" s="39"/>
      <c r="D180" s="36"/>
      <c r="E180" s="40"/>
    </row>
    <row r="181" spans="1:5" ht="30" customHeight="1">
      <c r="A181" s="13" t="s">
        <v>15</v>
      </c>
      <c r="B181" s="35"/>
      <c r="C181" s="39"/>
      <c r="D181" s="36"/>
      <c r="E181" s="40"/>
    </row>
    <row r="182" spans="1:5" ht="30" customHeight="1" thickBot="1">
      <c r="A182" s="13" t="s">
        <v>8</v>
      </c>
      <c r="B182" s="35" t="s">
        <v>47</v>
      </c>
      <c r="C182" s="41"/>
      <c r="D182" s="42"/>
      <c r="E182" s="43"/>
    </row>
    <row r="183" spans="1:5" ht="30" customHeight="1">
      <c r="A183" s="13" t="s">
        <v>9</v>
      </c>
      <c r="B183" s="35" t="s">
        <v>86</v>
      </c>
      <c r="C183" s="4" t="s">
        <v>11</v>
      </c>
      <c r="D183" s="6">
        <v>40</v>
      </c>
      <c r="E183" s="44"/>
    </row>
    <row r="184" spans="1:5" ht="30" customHeight="1" thickBot="1">
      <c r="A184" s="14" t="s">
        <v>16</v>
      </c>
      <c r="B184" s="20" t="s">
        <v>17</v>
      </c>
      <c r="C184" s="5" t="s">
        <v>0</v>
      </c>
      <c r="D184" s="7">
        <f>IF(D183&lt;0,"valor del indicador fuera de rango",IF(D183&lt;=100,(-0.01*D183)+1,"valor del indicador fuera rango"))</f>
        <v>0.6</v>
      </c>
      <c r="E184" s="45"/>
    </row>
    <row r="185" spans="1:5" ht="30" customHeight="1">
      <c r="A185" s="15" t="s">
        <v>14</v>
      </c>
      <c r="B185" s="3" t="s">
        <v>0</v>
      </c>
      <c r="C185" s="146" t="s">
        <v>13</v>
      </c>
      <c r="D185" s="144"/>
      <c r="E185" s="145"/>
    </row>
    <row r="186" spans="1:5" ht="12.95" customHeight="1">
      <c r="A186" s="28">
        <v>0</v>
      </c>
      <c r="B186" s="24">
        <f>(-0.01*A186)+1</f>
        <v>1</v>
      </c>
      <c r="C186" s="47"/>
      <c r="D186" s="47"/>
      <c r="E186" s="48"/>
    </row>
    <row r="187" spans="1:5" ht="12.95" customHeight="1">
      <c r="A187" s="29">
        <v>5</v>
      </c>
      <c r="B187" s="24">
        <f aca="true" t="shared" si="8" ref="B187:B204">(-0.01*A187)+1</f>
        <v>0.95</v>
      </c>
      <c r="C187" s="25"/>
      <c r="D187" s="47"/>
      <c r="E187" s="48"/>
    </row>
    <row r="188" spans="1:5" ht="12.95" customHeight="1">
      <c r="A188" s="29">
        <v>10</v>
      </c>
      <c r="B188" s="24">
        <f t="shared" si="8"/>
        <v>0.9</v>
      </c>
      <c r="C188" s="25"/>
      <c r="D188" s="47"/>
      <c r="E188" s="48"/>
    </row>
    <row r="189" spans="1:5" ht="12.95" customHeight="1">
      <c r="A189" s="29">
        <v>15</v>
      </c>
      <c r="B189" s="24">
        <f t="shared" si="8"/>
        <v>0.85</v>
      </c>
      <c r="C189" s="25"/>
      <c r="D189" s="47"/>
      <c r="E189" s="48"/>
    </row>
    <row r="190" spans="1:5" ht="12.95" customHeight="1">
      <c r="A190" s="29">
        <v>20</v>
      </c>
      <c r="B190" s="24">
        <f t="shared" si="8"/>
        <v>0.8</v>
      </c>
      <c r="C190" s="25"/>
      <c r="D190" s="47"/>
      <c r="E190" s="48"/>
    </row>
    <row r="191" spans="1:5" ht="12.95" customHeight="1">
      <c r="A191" s="29">
        <v>25</v>
      </c>
      <c r="B191" s="24">
        <f t="shared" si="8"/>
        <v>0.75</v>
      </c>
      <c r="C191" s="25"/>
      <c r="D191" s="47"/>
      <c r="E191" s="48"/>
    </row>
    <row r="192" spans="1:5" ht="12.95" customHeight="1">
      <c r="A192" s="29">
        <v>30</v>
      </c>
      <c r="B192" s="24">
        <f t="shared" si="8"/>
        <v>0.7</v>
      </c>
      <c r="C192" s="25"/>
      <c r="D192" s="47"/>
      <c r="E192" s="48"/>
    </row>
    <row r="193" spans="1:5" ht="12.95" customHeight="1">
      <c r="A193" s="29">
        <v>35</v>
      </c>
      <c r="B193" s="24">
        <f t="shared" si="8"/>
        <v>0.6499999999999999</v>
      </c>
      <c r="C193" s="25"/>
      <c r="D193" s="47"/>
      <c r="E193" s="48"/>
    </row>
    <row r="194" spans="1:5" ht="12.95" customHeight="1">
      <c r="A194" s="29">
        <v>40</v>
      </c>
      <c r="B194" s="24">
        <f t="shared" si="8"/>
        <v>0.6</v>
      </c>
      <c r="C194" s="25"/>
      <c r="D194" s="47"/>
      <c r="E194" s="48"/>
    </row>
    <row r="195" spans="1:5" ht="12.95" customHeight="1">
      <c r="A195" s="29">
        <v>45</v>
      </c>
      <c r="B195" s="24">
        <f t="shared" si="8"/>
        <v>0.55</v>
      </c>
      <c r="C195" s="25"/>
      <c r="D195" s="47"/>
      <c r="E195" s="48"/>
    </row>
    <row r="196" spans="1:5" ht="12.95" customHeight="1">
      <c r="A196" s="29">
        <v>50</v>
      </c>
      <c r="B196" s="24">
        <f t="shared" si="8"/>
        <v>0.5</v>
      </c>
      <c r="C196" s="25"/>
      <c r="D196" s="47"/>
      <c r="E196" s="48"/>
    </row>
    <row r="197" spans="1:5" ht="12.95" customHeight="1">
      <c r="A197" s="29">
        <v>55</v>
      </c>
      <c r="B197" s="24">
        <f t="shared" si="8"/>
        <v>0.44999999999999996</v>
      </c>
      <c r="C197" s="25"/>
      <c r="D197" s="47"/>
      <c r="E197" s="48"/>
    </row>
    <row r="198" spans="1:5" ht="12.95" customHeight="1">
      <c r="A198" s="29">
        <v>60</v>
      </c>
      <c r="B198" s="24">
        <f t="shared" si="8"/>
        <v>0.4</v>
      </c>
      <c r="C198" s="25"/>
      <c r="D198" s="47"/>
      <c r="E198" s="48"/>
    </row>
    <row r="199" spans="1:5" ht="12.95" customHeight="1">
      <c r="A199" s="29">
        <v>65</v>
      </c>
      <c r="B199" s="24">
        <f t="shared" si="8"/>
        <v>0.35</v>
      </c>
      <c r="C199" s="25"/>
      <c r="D199" s="47"/>
      <c r="E199" s="48"/>
    </row>
    <row r="200" spans="1:5" ht="12.95" customHeight="1">
      <c r="A200" s="29">
        <v>70</v>
      </c>
      <c r="B200" s="24">
        <f t="shared" si="8"/>
        <v>0.29999999999999993</v>
      </c>
      <c r="C200" s="25"/>
      <c r="D200" s="47"/>
      <c r="E200" s="48"/>
    </row>
    <row r="201" spans="1:5" ht="12.95" customHeight="1">
      <c r="A201" s="29">
        <v>75</v>
      </c>
      <c r="B201" s="24">
        <f t="shared" si="8"/>
        <v>0.25</v>
      </c>
      <c r="C201" s="25"/>
      <c r="D201" s="47"/>
      <c r="E201" s="48"/>
    </row>
    <row r="202" spans="1:5" ht="12.95" customHeight="1">
      <c r="A202" s="29">
        <v>80</v>
      </c>
      <c r="B202" s="24">
        <f t="shared" si="8"/>
        <v>0.19999999999999996</v>
      </c>
      <c r="C202" s="25"/>
      <c r="D202" s="47"/>
      <c r="E202" s="48"/>
    </row>
    <row r="203" spans="1:5" ht="12.95" customHeight="1">
      <c r="A203" s="29">
        <v>90</v>
      </c>
      <c r="B203" s="24">
        <f t="shared" si="8"/>
        <v>0.09999999999999998</v>
      </c>
      <c r="C203" s="25"/>
      <c r="D203" s="47"/>
      <c r="E203" s="48"/>
    </row>
    <row r="204" spans="1:5" ht="12.95" customHeight="1" thickBot="1">
      <c r="A204" s="56">
        <v>100</v>
      </c>
      <c r="B204" s="59">
        <f t="shared" si="8"/>
        <v>0</v>
      </c>
      <c r="C204" s="53"/>
      <c r="D204" s="49"/>
      <c r="E204" s="50"/>
    </row>
    <row r="205" ht="12.95" customHeight="1" thickTop="1"/>
  </sheetData>
  <mergeCells count="7">
    <mergeCell ref="C123:E123"/>
    <mergeCell ref="C155:E155"/>
    <mergeCell ref="C185:E185"/>
    <mergeCell ref="C7:E7"/>
    <mergeCell ref="C36:E36"/>
    <mergeCell ref="C65:E65"/>
    <mergeCell ref="C94:E94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31</v>
      </c>
      <c r="C1" s="10" t="s">
        <v>10</v>
      </c>
      <c r="D1" s="33" t="s">
        <v>182</v>
      </c>
      <c r="E1" s="34" t="s">
        <v>139</v>
      </c>
    </row>
    <row r="2" spans="1:5" s="38" customFormat="1" ht="30" customHeight="1">
      <c r="A2" s="13" t="s">
        <v>7</v>
      </c>
      <c r="B2" s="35" t="s">
        <v>138</v>
      </c>
      <c r="C2" s="39"/>
      <c r="D2" s="36" t="s">
        <v>183</v>
      </c>
      <c r="E2" s="109" t="s">
        <v>140</v>
      </c>
    </row>
    <row r="3" spans="1:5" s="38" customFormat="1" ht="30" customHeight="1">
      <c r="A3" s="13" t="s">
        <v>15</v>
      </c>
      <c r="B3" s="35"/>
      <c r="C3" s="39"/>
      <c r="D3" s="36" t="s">
        <v>184</v>
      </c>
      <c r="E3" s="40" t="s">
        <v>23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166</v>
      </c>
      <c r="C5" s="4" t="s">
        <v>11</v>
      </c>
      <c r="D5" s="6">
        <v>60</v>
      </c>
      <c r="E5" s="44"/>
    </row>
    <row r="6" spans="1:5" s="38" customFormat="1" ht="30" customHeight="1" thickBot="1">
      <c r="A6" s="14" t="s">
        <v>16</v>
      </c>
      <c r="B6" s="20" t="s">
        <v>17</v>
      </c>
      <c r="C6" s="5" t="s">
        <v>0</v>
      </c>
      <c r="D6" s="7">
        <f>IF(D5&lt;-100,"valor del indicador fuera de rango",IF(D5&lt;=-50,0.018*(D5)+(1.8),IF(D5&lt;=0,(0.002*(D5))+1,IF(D5&lt;=100,(-0.01*(D5))+1,"valor del indicador fuera rango"))))</f>
        <v>0.4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-100</v>
      </c>
      <c r="B8" s="24">
        <f aca="true" t="shared" si="0" ref="B8:B13">0.018*A8+1.8</f>
        <v>0</v>
      </c>
      <c r="C8" s="47"/>
      <c r="D8" s="47"/>
      <c r="E8" s="48"/>
    </row>
    <row r="9" spans="1:5" ht="12.95" customHeight="1">
      <c r="A9" s="29">
        <v>-90</v>
      </c>
      <c r="B9" s="24">
        <f t="shared" si="0"/>
        <v>0.18000000000000016</v>
      </c>
      <c r="C9" s="25"/>
      <c r="D9" s="47"/>
      <c r="E9" s="48"/>
    </row>
    <row r="10" spans="1:5" ht="12.95" customHeight="1">
      <c r="A10" s="29">
        <v>-80</v>
      </c>
      <c r="B10" s="24">
        <f t="shared" si="0"/>
        <v>0.3600000000000001</v>
      </c>
      <c r="C10" s="25"/>
      <c r="D10" s="47"/>
      <c r="E10" s="48"/>
    </row>
    <row r="11" spans="1:5" ht="12.95" customHeight="1">
      <c r="A11" s="29">
        <v>-70</v>
      </c>
      <c r="B11" s="24">
        <f t="shared" si="0"/>
        <v>0.54</v>
      </c>
      <c r="C11" s="25"/>
      <c r="D11" s="47"/>
      <c r="E11" s="48"/>
    </row>
    <row r="12" spans="1:5" ht="12.95" customHeight="1">
      <c r="A12" s="29">
        <v>-60</v>
      </c>
      <c r="B12" s="24">
        <f t="shared" si="0"/>
        <v>0.7200000000000002</v>
      </c>
      <c r="C12" s="25"/>
      <c r="D12" s="47"/>
      <c r="E12" s="48"/>
    </row>
    <row r="13" spans="1:5" ht="12.95" customHeight="1">
      <c r="A13" s="29">
        <v>-50</v>
      </c>
      <c r="B13" s="24">
        <f t="shared" si="0"/>
        <v>0.9000000000000001</v>
      </c>
      <c r="C13" s="25"/>
      <c r="D13" s="47"/>
      <c r="E13" s="48"/>
    </row>
    <row r="14" spans="1:5" ht="12.95" customHeight="1">
      <c r="A14" s="30">
        <v>-40</v>
      </c>
      <c r="B14" s="26">
        <f>0.002*A14+1</f>
        <v>0.92</v>
      </c>
      <c r="C14" s="25"/>
      <c r="D14" s="47"/>
      <c r="E14" s="48"/>
    </row>
    <row r="15" spans="1:5" ht="12.95" customHeight="1">
      <c r="A15" s="30">
        <v>-30</v>
      </c>
      <c r="B15" s="26">
        <f>0.002*A15+1</f>
        <v>0.94</v>
      </c>
      <c r="C15" s="25"/>
      <c r="D15" s="47"/>
      <c r="E15" s="48"/>
    </row>
    <row r="16" spans="1:5" ht="12.95" customHeight="1">
      <c r="A16" s="30">
        <v>-20</v>
      </c>
      <c r="B16" s="26">
        <f>0.002*A16+1</f>
        <v>0.96</v>
      </c>
      <c r="C16" s="25"/>
      <c r="D16" s="47"/>
      <c r="E16" s="48"/>
    </row>
    <row r="17" spans="1:5" ht="12.95" customHeight="1">
      <c r="A17" s="30">
        <v>-10</v>
      </c>
      <c r="B17" s="26">
        <f>0.002*A17+1</f>
        <v>0.98</v>
      </c>
      <c r="C17" s="25"/>
      <c r="D17" s="47"/>
      <c r="E17" s="48"/>
    </row>
    <row r="18" spans="1:5" ht="12.95" customHeight="1">
      <c r="A18" s="30">
        <v>0</v>
      </c>
      <c r="B18" s="26">
        <f>0.002*A18+1</f>
        <v>1</v>
      </c>
      <c r="C18" s="25"/>
      <c r="D18" s="47"/>
      <c r="E18" s="48"/>
    </row>
    <row r="19" spans="1:5" ht="12.95" customHeight="1">
      <c r="A19" s="31">
        <v>10</v>
      </c>
      <c r="B19" s="27">
        <f>-0.01*A19+1</f>
        <v>0.9</v>
      </c>
      <c r="C19" s="25"/>
      <c r="D19" s="47"/>
      <c r="E19" s="48"/>
    </row>
    <row r="20" spans="1:5" ht="12.95" customHeight="1">
      <c r="A20" s="31">
        <v>20</v>
      </c>
      <c r="B20" s="27">
        <f aca="true" t="shared" si="1" ref="B20:B26">-0.01*A20+1</f>
        <v>0.8</v>
      </c>
      <c r="C20" s="25"/>
      <c r="D20" s="47"/>
      <c r="E20" s="48"/>
    </row>
    <row r="21" spans="1:5" ht="12.95" customHeight="1">
      <c r="A21" s="31">
        <v>30</v>
      </c>
      <c r="B21" s="27">
        <f t="shared" si="1"/>
        <v>0.7</v>
      </c>
      <c r="C21" s="25"/>
      <c r="D21" s="47"/>
      <c r="E21" s="48"/>
    </row>
    <row r="22" spans="1:5" ht="12.95" customHeight="1">
      <c r="A22" s="31">
        <v>40</v>
      </c>
      <c r="B22" s="27">
        <f t="shared" si="1"/>
        <v>0.6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0.5</v>
      </c>
      <c r="C23" s="25"/>
      <c r="D23" s="47"/>
      <c r="E23" s="48"/>
    </row>
    <row r="24" spans="1:5" ht="12.95" customHeight="1">
      <c r="A24" s="31">
        <v>60</v>
      </c>
      <c r="B24" s="27">
        <f t="shared" si="1"/>
        <v>0.4</v>
      </c>
      <c r="C24" s="25"/>
      <c r="D24" s="47"/>
      <c r="E24" s="48"/>
    </row>
    <row r="25" spans="1:5" ht="12.95" customHeight="1">
      <c r="A25" s="31">
        <v>80</v>
      </c>
      <c r="B25" s="27">
        <f t="shared" si="1"/>
        <v>0.19999999999999996</v>
      </c>
      <c r="C25" s="25"/>
      <c r="D25" s="47"/>
      <c r="E25" s="48"/>
    </row>
    <row r="26" spans="1:5" ht="12.95" customHeight="1" thickBot="1">
      <c r="A26" s="51">
        <v>100</v>
      </c>
      <c r="B26" s="52">
        <f t="shared" si="1"/>
        <v>0</v>
      </c>
      <c r="C26" s="53"/>
      <c r="D26" s="49"/>
      <c r="E26" s="5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iapgoloz</cp:lastModifiedBy>
  <cp:lastPrinted>2007-06-26T12:05:50Z</cp:lastPrinted>
  <dcterms:created xsi:type="dcterms:W3CDTF">1996-11-27T10:00:04Z</dcterms:created>
  <dcterms:modified xsi:type="dcterms:W3CDTF">2014-05-15T14:51:15Z</dcterms:modified>
  <cp:category/>
  <cp:version/>
  <cp:contentType/>
  <cp:contentStatus/>
</cp:coreProperties>
</file>