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10860" tabRatio="547" firstSheet="2" activeTab="4"/>
  </bookViews>
  <sheets>
    <sheet name="Sixt" sheetId="23" r:id="rId1"/>
    <sheet name="Hiper Rent" sheetId="22" r:id="rId2"/>
    <sheet name="Autos Veny" sheetId="21" r:id="rId3"/>
    <sheet name="Autoclick" sheetId="20" r:id="rId4"/>
    <sheet name="Avis" sheetId="25" r:id="rId5"/>
    <sheet name="Hertz" sheetId="27" r:id="rId6"/>
    <sheet name="Eropcar" sheetId="26" r:id="rId7"/>
    <sheet name="resumen" sheetId="28" r:id="rId8"/>
    <sheet name="resumen2" sheetId="29" r:id="rId9"/>
    <sheet name="Pagos iniciales" sheetId="1" r:id="rId10"/>
    <sheet name="fuentes de financiacion" sheetId="2" r:id="rId11"/>
    <sheet name="tabla financiera " sheetId="3" r:id="rId12"/>
    <sheet name="tabla contable" sheetId="4" r:id="rId13"/>
    <sheet name="Inflación" sheetId="9" r:id="rId14"/>
    <sheet name="Gastos" sheetId="6" r:id="rId15"/>
    <sheet name="neutral hipótesis" sheetId="7" r:id="rId16"/>
    <sheet name="neutral valoracion" sheetId="8" r:id="rId17"/>
    <sheet name="negativo hipótesis" sheetId="10" r:id="rId18"/>
    <sheet name="negativo valoracion" sheetId="11" r:id="rId19"/>
    <sheet name="positivo hipótesis" sheetId="12" r:id="rId20"/>
    <sheet name="positivo valoracion" sheetId="13" r:id="rId21"/>
    <sheet name="VAN ajustado riesgo" sheetId="15" r:id="rId22"/>
  </sheets>
  <externalReferences>
    <externalReference r:id="rId23"/>
  </externalReferences>
  <calcPr calcId="125725" concurrentCalc="0"/>
</workbook>
</file>

<file path=xl/calcChain.xml><?xml version="1.0" encoding="utf-8"?>
<calcChain xmlns="http://schemas.openxmlformats.org/spreadsheetml/2006/main">
  <c r="R44" i="23"/>
  <c r="E11" i="7"/>
  <c r="E13"/>
  <c r="E20"/>
  <c r="D65"/>
  <c r="F65"/>
  <c r="H65"/>
  <c r="E21"/>
  <c r="D66"/>
  <c r="F66"/>
  <c r="H66"/>
  <c r="H67"/>
  <c r="E26"/>
  <c r="E29"/>
  <c r="D72"/>
  <c r="F72"/>
  <c r="H72"/>
  <c r="E30"/>
  <c r="D73"/>
  <c r="F73"/>
  <c r="H73"/>
  <c r="H74"/>
  <c r="E77"/>
  <c r="C28" i="8"/>
  <c r="C29"/>
  <c r="C30"/>
  <c r="E23" i="6"/>
  <c r="E24"/>
  <c r="E22"/>
  <c r="E36"/>
  <c r="E41"/>
  <c r="E28"/>
  <c r="E30"/>
  <c r="E51"/>
  <c r="D64"/>
  <c r="D65"/>
  <c r="E67"/>
  <c r="D28" i="8"/>
  <c r="D29"/>
  <c r="D30"/>
  <c r="E30"/>
  <c r="E73" i="6"/>
  <c r="E75"/>
  <c r="E77"/>
  <c r="E79"/>
  <c r="E81"/>
  <c r="D87"/>
  <c r="D91"/>
  <c r="F30" i="8"/>
  <c r="H30"/>
  <c r="C2"/>
  <c r="I30"/>
  <c r="C31"/>
  <c r="D31"/>
  <c r="E31"/>
  <c r="F31"/>
  <c r="H31"/>
  <c r="I31"/>
  <c r="E28"/>
  <c r="F28"/>
  <c r="H28"/>
  <c r="I28"/>
  <c r="E11" i="10"/>
  <c r="E13"/>
  <c r="E20"/>
  <c r="D65"/>
  <c r="F65"/>
  <c r="H65"/>
  <c r="E21"/>
  <c r="D66"/>
  <c r="F66"/>
  <c r="H66"/>
  <c r="H67"/>
  <c r="E26"/>
  <c r="E29"/>
  <c r="D72"/>
  <c r="F72"/>
  <c r="H72"/>
  <c r="E30"/>
  <c r="D73"/>
  <c r="F73"/>
  <c r="H73"/>
  <c r="H74"/>
  <c r="E77"/>
  <c r="C28" i="11"/>
  <c r="C29"/>
  <c r="D28"/>
  <c r="D29"/>
  <c r="E29"/>
  <c r="F29"/>
  <c r="H29"/>
  <c r="C2"/>
  <c r="I29"/>
  <c r="C30"/>
  <c r="D30"/>
  <c r="E30"/>
  <c r="F30"/>
  <c r="H30"/>
  <c r="I30"/>
  <c r="C31"/>
  <c r="D31"/>
  <c r="E31"/>
  <c r="F31"/>
  <c r="H31"/>
  <c r="I31"/>
  <c r="J29"/>
  <c r="J30"/>
  <c r="J31"/>
  <c r="E28"/>
  <c r="F28"/>
  <c r="H28"/>
  <c r="I28"/>
  <c r="E34" i="15"/>
  <c r="E51"/>
  <c r="E66"/>
  <c r="E10" i="29"/>
  <c r="D10"/>
  <c r="F9"/>
  <c r="E9"/>
  <c r="D9"/>
  <c r="F8"/>
  <c r="E8"/>
  <c r="D8"/>
  <c r="G10" i="28"/>
  <c r="F10"/>
  <c r="E10"/>
  <c r="D10"/>
  <c r="G9"/>
  <c r="F9"/>
  <c r="E9"/>
  <c r="D9"/>
  <c r="G8"/>
  <c r="F8"/>
  <c r="E8"/>
  <c r="D8"/>
  <c r="G4"/>
  <c r="F4"/>
  <c r="E4"/>
  <c r="D4"/>
  <c r="J45" i="27" l="1"/>
  <c r="J47"/>
  <c r="J51"/>
  <c r="O6"/>
  <c r="O5"/>
  <c r="J73"/>
  <c r="H45"/>
  <c r="H47"/>
  <c r="H51"/>
  <c r="M6"/>
  <c r="M5"/>
  <c r="H73"/>
  <c r="F45"/>
  <c r="F47"/>
  <c r="F51"/>
  <c r="K5"/>
  <c r="F73"/>
  <c r="T63"/>
  <c r="T64"/>
  <c r="T65"/>
  <c r="K17"/>
  <c r="T66"/>
  <c r="T67"/>
  <c r="T69"/>
  <c r="S63"/>
  <c r="S64"/>
  <c r="S65"/>
  <c r="M17"/>
  <c r="S66"/>
  <c r="S67"/>
  <c r="S69"/>
  <c r="R63"/>
  <c r="R64"/>
  <c r="R65"/>
  <c r="O17"/>
  <c r="R66"/>
  <c r="R67"/>
  <c r="R69"/>
  <c r="H11"/>
  <c r="H5"/>
  <c r="H21"/>
  <c r="J64"/>
  <c r="F11"/>
  <c r="F5"/>
  <c r="F21"/>
  <c r="H64"/>
  <c r="D11"/>
  <c r="D5"/>
  <c r="D21"/>
  <c r="F64"/>
  <c r="T4"/>
  <c r="T62"/>
  <c r="J62"/>
  <c r="H62"/>
  <c r="F62"/>
  <c r="J61"/>
  <c r="H61"/>
  <c r="F61"/>
  <c r="J54"/>
  <c r="H54"/>
  <c r="F54"/>
  <c r="K10"/>
  <c r="T44"/>
  <c r="M10"/>
  <c r="S44"/>
  <c r="R44"/>
  <c r="T43"/>
  <c r="S43"/>
  <c r="O10"/>
  <c r="R43"/>
  <c r="T42"/>
  <c r="S42"/>
  <c r="R42"/>
  <c r="K14"/>
  <c r="T41"/>
  <c r="M14"/>
  <c r="S41"/>
  <c r="O14"/>
  <c r="R41"/>
  <c r="T29"/>
  <c r="T40"/>
  <c r="J37"/>
  <c r="H37"/>
  <c r="F37"/>
  <c r="T32"/>
  <c r="S32"/>
  <c r="R32"/>
  <c r="T31"/>
  <c r="S31"/>
  <c r="R31"/>
  <c r="T30"/>
  <c r="S30"/>
  <c r="R30"/>
  <c r="O21"/>
  <c r="M21"/>
  <c r="K21"/>
  <c r="T5"/>
  <c r="S5"/>
  <c r="R5"/>
  <c r="S4"/>
  <c r="R4"/>
  <c r="J45" i="26"/>
  <c r="J47"/>
  <c r="J51"/>
  <c r="O6"/>
  <c r="O5"/>
  <c r="J73"/>
  <c r="H45"/>
  <c r="H47"/>
  <c r="H51"/>
  <c r="M6"/>
  <c r="M5"/>
  <c r="H73"/>
  <c r="F45"/>
  <c r="F47"/>
  <c r="F51"/>
  <c r="K5"/>
  <c r="F73"/>
  <c r="T63"/>
  <c r="T64"/>
  <c r="T65"/>
  <c r="K17"/>
  <c r="T66"/>
  <c r="T67"/>
  <c r="T69"/>
  <c r="S63"/>
  <c r="S64"/>
  <c r="S65"/>
  <c r="M17"/>
  <c r="S66"/>
  <c r="S67"/>
  <c r="S69"/>
  <c r="R63"/>
  <c r="R64"/>
  <c r="R65"/>
  <c r="O17"/>
  <c r="R66"/>
  <c r="R67"/>
  <c r="R69"/>
  <c r="H11"/>
  <c r="H5"/>
  <c r="H21"/>
  <c r="J64"/>
  <c r="F11"/>
  <c r="F5"/>
  <c r="F21"/>
  <c r="H64"/>
  <c r="D11"/>
  <c r="D5"/>
  <c r="D21"/>
  <c r="F64"/>
  <c r="T4"/>
  <c r="T62"/>
  <c r="J62"/>
  <c r="H62"/>
  <c r="F62"/>
  <c r="J61"/>
  <c r="H61"/>
  <c r="F61"/>
  <c r="J54"/>
  <c r="H54"/>
  <c r="F54"/>
  <c r="K10"/>
  <c r="T44"/>
  <c r="M10"/>
  <c r="S44"/>
  <c r="R44"/>
  <c r="T43"/>
  <c r="S43"/>
  <c r="O10"/>
  <c r="R43"/>
  <c r="T42"/>
  <c r="S42"/>
  <c r="R42"/>
  <c r="K14"/>
  <c r="T41"/>
  <c r="M14"/>
  <c r="S41"/>
  <c r="O14"/>
  <c r="R41"/>
  <c r="T29"/>
  <c r="T40"/>
  <c r="J37"/>
  <c r="H37"/>
  <c r="F37"/>
  <c r="T32"/>
  <c r="S32"/>
  <c r="R32"/>
  <c r="T31"/>
  <c r="S31"/>
  <c r="R31"/>
  <c r="T30"/>
  <c r="S30"/>
  <c r="R30"/>
  <c r="O21"/>
  <c r="M21"/>
  <c r="K21"/>
  <c r="T5"/>
  <c r="S5"/>
  <c r="R5"/>
  <c r="S4"/>
  <c r="R4"/>
  <c r="J45" i="25"/>
  <c r="J47"/>
  <c r="J51"/>
  <c r="O6"/>
  <c r="O5"/>
  <c r="J73"/>
  <c r="H45"/>
  <c r="H47"/>
  <c r="H51"/>
  <c r="M6"/>
  <c r="M5"/>
  <c r="H73"/>
  <c r="F45"/>
  <c r="F47"/>
  <c r="F51"/>
  <c r="K5"/>
  <c r="F73"/>
  <c r="T63"/>
  <c r="T64"/>
  <c r="T65"/>
  <c r="K17"/>
  <c r="T66"/>
  <c r="T67"/>
  <c r="T69"/>
  <c r="S63"/>
  <c r="S64"/>
  <c r="S65"/>
  <c r="M17"/>
  <c r="S66"/>
  <c r="S67"/>
  <c r="S69"/>
  <c r="R63"/>
  <c r="R64"/>
  <c r="R65"/>
  <c r="O17"/>
  <c r="R66"/>
  <c r="R67"/>
  <c r="R69"/>
  <c r="H11"/>
  <c r="H5"/>
  <c r="H21"/>
  <c r="J64"/>
  <c r="F11"/>
  <c r="F5"/>
  <c r="F21"/>
  <c r="H64"/>
  <c r="D11"/>
  <c r="D5"/>
  <c r="D21"/>
  <c r="F64"/>
  <c r="T4"/>
  <c r="T62"/>
  <c r="J62"/>
  <c r="H62"/>
  <c r="F62"/>
  <c r="J61"/>
  <c r="H61"/>
  <c r="F61"/>
  <c r="J54"/>
  <c r="H54"/>
  <c r="F54"/>
  <c r="K10"/>
  <c r="T44"/>
  <c r="M10"/>
  <c r="S44"/>
  <c r="R44"/>
  <c r="T43"/>
  <c r="S43"/>
  <c r="O10"/>
  <c r="R43"/>
  <c r="T42"/>
  <c r="S42"/>
  <c r="R42"/>
  <c r="K14"/>
  <c r="T41"/>
  <c r="M15"/>
  <c r="M14"/>
  <c r="S41"/>
  <c r="O15"/>
  <c r="O14"/>
  <c r="R41"/>
  <c r="T29"/>
  <c r="T40"/>
  <c r="J37"/>
  <c r="H37"/>
  <c r="F37"/>
  <c r="T32"/>
  <c r="S32"/>
  <c r="R32"/>
  <c r="T31"/>
  <c r="S31"/>
  <c r="R31"/>
  <c r="T30"/>
  <c r="S30"/>
  <c r="R30"/>
  <c r="O21"/>
  <c r="M21"/>
  <c r="K21"/>
  <c r="T5"/>
  <c r="S5"/>
  <c r="R5"/>
  <c r="S4"/>
  <c r="R4"/>
  <c r="J45" i="23" l="1"/>
  <c r="J47"/>
  <c r="J51"/>
  <c r="O6"/>
  <c r="O5"/>
  <c r="J73"/>
  <c r="H45"/>
  <c r="H47"/>
  <c r="H51"/>
  <c r="M6"/>
  <c r="M5"/>
  <c r="H73"/>
  <c r="F45"/>
  <c r="F47"/>
  <c r="F51"/>
  <c r="K5"/>
  <c r="F73"/>
  <c r="T63"/>
  <c r="T64"/>
  <c r="T65"/>
  <c r="K17"/>
  <c r="T66"/>
  <c r="T67"/>
  <c r="T69"/>
  <c r="S63"/>
  <c r="S64"/>
  <c r="S65"/>
  <c r="M17"/>
  <c r="S66"/>
  <c r="S67"/>
  <c r="S69"/>
  <c r="R63"/>
  <c r="R64"/>
  <c r="R65"/>
  <c r="O17"/>
  <c r="R66"/>
  <c r="R67"/>
  <c r="R69"/>
  <c r="H11"/>
  <c r="H5"/>
  <c r="H21"/>
  <c r="J64"/>
  <c r="F11"/>
  <c r="F5"/>
  <c r="F21"/>
  <c r="H64"/>
  <c r="D11"/>
  <c r="D5"/>
  <c r="D21"/>
  <c r="F64"/>
  <c r="T4"/>
  <c r="T62"/>
  <c r="J62"/>
  <c r="H62"/>
  <c r="F62"/>
  <c r="J61"/>
  <c r="H61"/>
  <c r="F61"/>
  <c r="J54"/>
  <c r="H54"/>
  <c r="F54"/>
  <c r="K10"/>
  <c r="T44"/>
  <c r="M10"/>
  <c r="S44"/>
  <c r="T43"/>
  <c r="S43"/>
  <c r="O10"/>
  <c r="R43"/>
  <c r="T42"/>
  <c r="S42"/>
  <c r="R42"/>
  <c r="K14"/>
  <c r="T41"/>
  <c r="M14"/>
  <c r="S41"/>
  <c r="O14"/>
  <c r="R41"/>
  <c r="T29"/>
  <c r="T40"/>
  <c r="J37"/>
  <c r="H37"/>
  <c r="F37"/>
  <c r="T32"/>
  <c r="S32"/>
  <c r="R32"/>
  <c r="T31"/>
  <c r="S31"/>
  <c r="R31"/>
  <c r="T30"/>
  <c r="S30"/>
  <c r="R30"/>
  <c r="O21"/>
  <c r="M21"/>
  <c r="K21"/>
  <c r="T5"/>
  <c r="S5"/>
  <c r="R5"/>
  <c r="S4"/>
  <c r="R4"/>
  <c r="F45" i="22"/>
  <c r="F47"/>
  <c r="F54"/>
  <c r="H45"/>
  <c r="H47"/>
  <c r="H54"/>
  <c r="J45"/>
  <c r="J47"/>
  <c r="J54"/>
  <c r="K10"/>
  <c r="K15"/>
  <c r="K17"/>
  <c r="K14"/>
  <c r="J51"/>
  <c r="O6"/>
  <c r="O5"/>
  <c r="J73"/>
  <c r="H51"/>
  <c r="M6"/>
  <c r="M5"/>
  <c r="H73"/>
  <c r="F51"/>
  <c r="K6"/>
  <c r="K5"/>
  <c r="F73"/>
  <c r="T63"/>
  <c r="T64"/>
  <c r="T65"/>
  <c r="T66"/>
  <c r="T67"/>
  <c r="T69"/>
  <c r="S63"/>
  <c r="S64"/>
  <c r="S65"/>
  <c r="M17"/>
  <c r="S66"/>
  <c r="S67"/>
  <c r="S69"/>
  <c r="R63"/>
  <c r="R64"/>
  <c r="R65"/>
  <c r="O17"/>
  <c r="R66"/>
  <c r="R67"/>
  <c r="R69"/>
  <c r="H15"/>
  <c r="H11"/>
  <c r="H5"/>
  <c r="H21"/>
  <c r="J64"/>
  <c r="F15"/>
  <c r="F11"/>
  <c r="F5"/>
  <c r="F21"/>
  <c r="H64"/>
  <c r="D15"/>
  <c r="D11"/>
  <c r="D5"/>
  <c r="D21"/>
  <c r="F64"/>
  <c r="T4"/>
  <c r="T62"/>
  <c r="J62"/>
  <c r="H62"/>
  <c r="F62"/>
  <c r="J61"/>
  <c r="H61"/>
  <c r="F61"/>
  <c r="T44"/>
  <c r="M10"/>
  <c r="S44"/>
  <c r="R44"/>
  <c r="T43"/>
  <c r="S43"/>
  <c r="O10"/>
  <c r="R43"/>
  <c r="T42"/>
  <c r="S42"/>
  <c r="R42"/>
  <c r="T41"/>
  <c r="M15"/>
  <c r="M14"/>
  <c r="S41"/>
  <c r="O15"/>
  <c r="O14"/>
  <c r="R41"/>
  <c r="T29"/>
  <c r="T40"/>
  <c r="J37"/>
  <c r="H37"/>
  <c r="F37"/>
  <c r="T32"/>
  <c r="S32"/>
  <c r="R32"/>
  <c r="T31"/>
  <c r="S31"/>
  <c r="R31"/>
  <c r="T30"/>
  <c r="S30"/>
  <c r="R30"/>
  <c r="O21"/>
  <c r="M21"/>
  <c r="K21"/>
  <c r="T5"/>
  <c r="S5"/>
  <c r="R5"/>
  <c r="S4"/>
  <c r="R4"/>
  <c r="J47" i="21" l="1"/>
  <c r="J49"/>
  <c r="J60"/>
  <c r="K10"/>
  <c r="K17"/>
  <c r="K14"/>
  <c r="J57"/>
  <c r="O6"/>
  <c r="O5"/>
  <c r="J80"/>
  <c r="H47"/>
  <c r="H49"/>
  <c r="H57"/>
  <c r="M6"/>
  <c r="M5"/>
  <c r="H80"/>
  <c r="F47"/>
  <c r="F49"/>
  <c r="F57"/>
  <c r="K6"/>
  <c r="K5"/>
  <c r="F80"/>
  <c r="T69"/>
  <c r="T70"/>
  <c r="T71"/>
  <c r="T72"/>
  <c r="T73"/>
  <c r="T75"/>
  <c r="S69"/>
  <c r="S70"/>
  <c r="S71"/>
  <c r="M17"/>
  <c r="S72"/>
  <c r="S73"/>
  <c r="S75"/>
  <c r="R69"/>
  <c r="R70"/>
  <c r="R71"/>
  <c r="O17"/>
  <c r="R72"/>
  <c r="R73"/>
  <c r="R75"/>
  <c r="H11"/>
  <c r="H5"/>
  <c r="H21"/>
  <c r="J70"/>
  <c r="F11"/>
  <c r="F5"/>
  <c r="F21"/>
  <c r="H70"/>
  <c r="D11"/>
  <c r="D5"/>
  <c r="D21"/>
  <c r="F70"/>
  <c r="T4"/>
  <c r="T68"/>
  <c r="J68"/>
  <c r="H68"/>
  <c r="F68"/>
  <c r="J67"/>
  <c r="H67"/>
  <c r="F67"/>
  <c r="T46"/>
  <c r="M10"/>
  <c r="S46"/>
  <c r="R46"/>
  <c r="T45"/>
  <c r="S45"/>
  <c r="O10"/>
  <c r="R45"/>
  <c r="T44"/>
  <c r="S44"/>
  <c r="R44"/>
  <c r="T43"/>
  <c r="M14"/>
  <c r="S43"/>
  <c r="O14"/>
  <c r="R43"/>
  <c r="T29"/>
  <c r="T42"/>
  <c r="T32"/>
  <c r="S32"/>
  <c r="R32"/>
  <c r="T31"/>
  <c r="S31"/>
  <c r="R31"/>
  <c r="T30"/>
  <c r="S30"/>
  <c r="R30"/>
  <c r="O21"/>
  <c r="M21"/>
  <c r="K21"/>
  <c r="T5"/>
  <c r="S5"/>
  <c r="R5"/>
  <c r="S4"/>
  <c r="R4"/>
  <c r="F47" i="20" l="1"/>
  <c r="F49"/>
  <c r="F60"/>
  <c r="J10"/>
  <c r="J15"/>
  <c r="J17"/>
  <c r="J14"/>
  <c r="D11"/>
  <c r="D5"/>
  <c r="D21"/>
  <c r="F68"/>
  <c r="F67"/>
  <c r="F70"/>
  <c r="C101"/>
  <c r="C90"/>
  <c r="J6"/>
  <c r="J5"/>
  <c r="C91"/>
  <c r="C93"/>
  <c r="C103"/>
  <c r="C96"/>
  <c r="F57"/>
  <c r="C83"/>
  <c r="R69"/>
  <c r="R70"/>
  <c r="R71"/>
  <c r="R72"/>
  <c r="R73"/>
  <c r="R75"/>
  <c r="F72"/>
  <c r="F71"/>
  <c r="R4"/>
  <c r="R68"/>
  <c r="R50"/>
  <c r="R49"/>
  <c r="R48"/>
  <c r="R47"/>
  <c r="R29"/>
  <c r="R46"/>
  <c r="F39"/>
  <c r="R32"/>
  <c r="R31"/>
  <c r="R30"/>
  <c r="J21"/>
  <c r="R5"/>
  <c r="V27" i="8" l="1"/>
  <c r="V28"/>
  <c r="V29"/>
  <c r="V30"/>
  <c r="V31"/>
  <c r="D112" i="13"/>
  <c r="E112"/>
  <c r="F112"/>
  <c r="G112"/>
  <c r="D117"/>
  <c r="E117"/>
  <c r="F117"/>
  <c r="G117"/>
  <c r="E96" i="1"/>
  <c r="E13" i="13"/>
  <c r="D3" i="3"/>
  <c r="D4" i="4"/>
  <c r="H5"/>
  <c r="L6" i="3"/>
  <c r="C16"/>
  <c r="C17"/>
  <c r="M6"/>
  <c r="N6"/>
  <c r="H6" i="4"/>
  <c r="P6" i="3"/>
  <c r="Q6"/>
  <c r="L7"/>
  <c r="M7"/>
  <c r="N7"/>
  <c r="H7" i="4"/>
  <c r="P7" i="3"/>
  <c r="Q7"/>
  <c r="L8"/>
  <c r="M8"/>
  <c r="N8"/>
  <c r="H8" i="4"/>
  <c r="P8" i="3"/>
  <c r="Q8"/>
  <c r="L9"/>
  <c r="M9"/>
  <c r="N9"/>
  <c r="H9" i="4"/>
  <c r="P9" i="3"/>
  <c r="Q9"/>
  <c r="L10"/>
  <c r="M10"/>
  <c r="N10"/>
  <c r="H10" i="4"/>
  <c r="P10" i="3"/>
  <c r="Q10"/>
  <c r="L11"/>
  <c r="M11"/>
  <c r="N11"/>
  <c r="H11" i="4"/>
  <c r="P11" i="3"/>
  <c r="Q11"/>
  <c r="L12"/>
  <c r="M12"/>
  <c r="N12"/>
  <c r="H12" i="4"/>
  <c r="P12" i="3"/>
  <c r="Q12"/>
  <c r="L13"/>
  <c r="M13"/>
  <c r="N13"/>
  <c r="H13" i="4"/>
  <c r="P13" i="3"/>
  <c r="Q13"/>
  <c r="L14"/>
  <c r="M14"/>
  <c r="N14"/>
  <c r="H14" i="4"/>
  <c r="P14" i="3"/>
  <c r="Q14"/>
  <c r="L15"/>
  <c r="M15"/>
  <c r="N15"/>
  <c r="H15" i="4"/>
  <c r="P15" i="3"/>
  <c r="Q15"/>
  <c r="L16"/>
  <c r="M16"/>
  <c r="N16"/>
  <c r="H16" i="4"/>
  <c r="P16" i="3"/>
  <c r="Q16"/>
  <c r="L17"/>
  <c r="M17"/>
  <c r="N17"/>
  <c r="H17" i="4"/>
  <c r="P17" i="3"/>
  <c r="Q17"/>
  <c r="L18"/>
  <c r="M18"/>
  <c r="N18"/>
  <c r="H18" i="4"/>
  <c r="P18" i="3"/>
  <c r="Q18"/>
  <c r="L19"/>
  <c r="M19"/>
  <c r="N19"/>
  <c r="H19" i="4"/>
  <c r="P19" i="3"/>
  <c r="Q19"/>
  <c r="L20"/>
  <c r="M20"/>
  <c r="N20"/>
  <c r="H20" i="4"/>
  <c r="P20" i="3"/>
  <c r="Q20"/>
  <c r="L21"/>
  <c r="M21"/>
  <c r="N21"/>
  <c r="H21" i="4"/>
  <c r="P21" i="3"/>
  <c r="Q21"/>
  <c r="L22"/>
  <c r="M22"/>
  <c r="N22"/>
  <c r="H22" i="4"/>
  <c r="P22" i="3"/>
  <c r="Q22"/>
  <c r="L23"/>
  <c r="M23"/>
  <c r="N23"/>
  <c r="H23" i="4"/>
  <c r="P23" i="3"/>
  <c r="Q23"/>
  <c r="L24"/>
  <c r="M24"/>
  <c r="N24"/>
  <c r="H24" i="4"/>
  <c r="P24" i="3"/>
  <c r="Q24"/>
  <c r="L25"/>
  <c r="M25"/>
  <c r="N25"/>
  <c r="H25" i="4"/>
  <c r="P25" i="3"/>
  <c r="Q25"/>
  <c r="L26"/>
  <c r="M26"/>
  <c r="N26"/>
  <c r="H26" i="4"/>
  <c r="P26" i="3"/>
  <c r="Q26"/>
  <c r="L27"/>
  <c r="M27"/>
  <c r="N27"/>
  <c r="H27" i="4"/>
  <c r="P27" i="3"/>
  <c r="Q27"/>
  <c r="L28"/>
  <c r="M28"/>
  <c r="N28"/>
  <c r="H28" i="4"/>
  <c r="P28" i="3"/>
  <c r="Q28"/>
  <c r="L29"/>
  <c r="M29"/>
  <c r="N29"/>
  <c r="H29" i="4"/>
  <c r="P29" i="3"/>
  <c r="Q29"/>
  <c r="L30"/>
  <c r="M30"/>
  <c r="N30"/>
  <c r="H30" i="4"/>
  <c r="P30" i="3"/>
  <c r="Q30"/>
  <c r="L31"/>
  <c r="M31"/>
  <c r="N31"/>
  <c r="H31" i="4"/>
  <c r="P31" i="3"/>
  <c r="Q31"/>
  <c r="L32"/>
  <c r="M32"/>
  <c r="N32"/>
  <c r="H32" i="4"/>
  <c r="P32" i="3"/>
  <c r="Q32"/>
  <c r="L33"/>
  <c r="M33"/>
  <c r="N33"/>
  <c r="H33" i="4"/>
  <c r="P33" i="3"/>
  <c r="Q33"/>
  <c r="L34"/>
  <c r="M34"/>
  <c r="N34"/>
  <c r="H34" i="4"/>
  <c r="P34" i="3"/>
  <c r="Q34"/>
  <c r="L35"/>
  <c r="M35"/>
  <c r="N35"/>
  <c r="H35" i="4"/>
  <c r="P35" i="3"/>
  <c r="Q35"/>
  <c r="L36"/>
  <c r="M36"/>
  <c r="N36"/>
  <c r="H36" i="4"/>
  <c r="P36" i="3"/>
  <c r="Q36"/>
  <c r="L37"/>
  <c r="M37"/>
  <c r="N37"/>
  <c r="H37" i="4"/>
  <c r="P37" i="3"/>
  <c r="Q37"/>
  <c r="L38"/>
  <c r="M38"/>
  <c r="N38"/>
  <c r="H38" i="4"/>
  <c r="P38" i="3"/>
  <c r="Q38"/>
  <c r="L39"/>
  <c r="M39"/>
  <c r="N39"/>
  <c r="H39" i="4"/>
  <c r="P39" i="3"/>
  <c r="Q39"/>
  <c r="L40"/>
  <c r="M40"/>
  <c r="N40"/>
  <c r="H40" i="4"/>
  <c r="P40" i="3"/>
  <c r="Q40"/>
  <c r="L41"/>
  <c r="M41"/>
  <c r="N41"/>
  <c r="H41" i="4"/>
  <c r="P41" i="3"/>
  <c r="Q41"/>
  <c r="L42"/>
  <c r="M42"/>
  <c r="N42"/>
  <c r="H42" i="4"/>
  <c r="P42" i="3"/>
  <c r="Q42"/>
  <c r="L43"/>
  <c r="M43"/>
  <c r="N43"/>
  <c r="H43" i="4"/>
  <c r="P43" i="3"/>
  <c r="Q43"/>
  <c r="L44"/>
  <c r="M44"/>
  <c r="N44"/>
  <c r="H44" i="4"/>
  <c r="P44" i="3"/>
  <c r="Q44"/>
  <c r="L45"/>
  <c r="M45"/>
  <c r="N45"/>
  <c r="H45" i="4"/>
  <c r="P45" i="3"/>
  <c r="Q45"/>
  <c r="L46"/>
  <c r="M46"/>
  <c r="N46"/>
  <c r="H46" i="4"/>
  <c r="P46" i="3"/>
  <c r="Q46"/>
  <c r="L47"/>
  <c r="M47"/>
  <c r="N47"/>
  <c r="H47" i="4"/>
  <c r="P47" i="3"/>
  <c r="Q47"/>
  <c r="L48"/>
  <c r="M48"/>
  <c r="N48"/>
  <c r="H48" i="4"/>
  <c r="P48" i="3"/>
  <c r="Q48"/>
  <c r="L49"/>
  <c r="M49"/>
  <c r="N49"/>
  <c r="H49" i="4"/>
  <c r="P49" i="3"/>
  <c r="Q49"/>
  <c r="L50"/>
  <c r="M50"/>
  <c r="N50"/>
  <c r="H50" i="4"/>
  <c r="P50" i="3"/>
  <c r="Q50"/>
  <c r="L51"/>
  <c r="M51"/>
  <c r="N51"/>
  <c r="H51" i="4"/>
  <c r="P51" i="3"/>
  <c r="Q51"/>
  <c r="L52"/>
  <c r="M52"/>
  <c r="N52"/>
  <c r="H52" i="4"/>
  <c r="P52" i="3"/>
  <c r="Q52"/>
  <c r="L53"/>
  <c r="M53"/>
  <c r="N53"/>
  <c r="H53" i="4"/>
  <c r="P53" i="3"/>
  <c r="Q53"/>
  <c r="L54"/>
  <c r="M54"/>
  <c r="N54"/>
  <c r="H54" i="4"/>
  <c r="P54" i="3"/>
  <c r="Q54"/>
  <c r="L55"/>
  <c r="M55"/>
  <c r="N55"/>
  <c r="H55" i="4"/>
  <c r="P55" i="3"/>
  <c r="Q55"/>
  <c r="L56"/>
  <c r="M56"/>
  <c r="N56"/>
  <c r="H56" i="4"/>
  <c r="P56" i="3"/>
  <c r="Q56"/>
  <c r="L57"/>
  <c r="M57"/>
  <c r="N57"/>
  <c r="H57" i="4"/>
  <c r="P57" i="3"/>
  <c r="Q57"/>
  <c r="L58"/>
  <c r="M58"/>
  <c r="N58"/>
  <c r="H58" i="4"/>
  <c r="P58" i="3"/>
  <c r="Q58"/>
  <c r="L59"/>
  <c r="M59"/>
  <c r="N59"/>
  <c r="H59" i="4"/>
  <c r="P59" i="3"/>
  <c r="Q59"/>
  <c r="L60"/>
  <c r="M60"/>
  <c r="N60"/>
  <c r="H60" i="4"/>
  <c r="P60" i="3"/>
  <c r="Q60"/>
  <c r="L61"/>
  <c r="M61"/>
  <c r="N61"/>
  <c r="H61" i="4"/>
  <c r="P61" i="3"/>
  <c r="Q61"/>
  <c r="L62"/>
  <c r="M62"/>
  <c r="N62"/>
  <c r="H62" i="4"/>
  <c r="P62" i="3"/>
  <c r="Q62"/>
  <c r="L63"/>
  <c r="M63"/>
  <c r="N63"/>
  <c r="H63" i="4"/>
  <c r="P63" i="3"/>
  <c r="Q63"/>
  <c r="L64"/>
  <c r="M64"/>
  <c r="N64"/>
  <c r="H64" i="4"/>
  <c r="P64" i="3"/>
  <c r="Q64"/>
  <c r="L65"/>
  <c r="M65"/>
  <c r="N65"/>
  <c r="H65" i="4"/>
  <c r="D7" i="3"/>
  <c r="D12"/>
  <c r="D9"/>
  <c r="D10"/>
  <c r="D20"/>
  <c r="D23"/>
  <c r="N66"/>
  <c r="H66" i="4"/>
  <c r="N67" i="3"/>
  <c r="H67" i="4"/>
  <c r="N68" i="3"/>
  <c r="H68" i="4"/>
  <c r="N69" i="3"/>
  <c r="H69" i="4"/>
  <c r="N70" i="3"/>
  <c r="H70" i="4"/>
  <c r="N71" i="3"/>
  <c r="H71" i="4"/>
  <c r="N72" i="3"/>
  <c r="H72" i="4"/>
  <c r="N73" i="3"/>
  <c r="H73" i="4"/>
  <c r="N74" i="3"/>
  <c r="H74" i="4"/>
  <c r="N75" i="3"/>
  <c r="H75" i="4"/>
  <c r="N76" i="3"/>
  <c r="H76" i="4"/>
  <c r="N77" i="3"/>
  <c r="H77" i="4"/>
  <c r="N78" i="3"/>
  <c r="H78" i="4"/>
  <c r="N79" i="3"/>
  <c r="H79" i="4"/>
  <c r="N80" i="3"/>
  <c r="H80" i="4"/>
  <c r="N81" i="3"/>
  <c r="H81" i="4"/>
  <c r="N82" i="3"/>
  <c r="H82" i="4"/>
  <c r="N83" i="3"/>
  <c r="H83" i="4"/>
  <c r="N84" i="3"/>
  <c r="H84" i="4"/>
  <c r="N85" i="3"/>
  <c r="H85" i="4"/>
  <c r="N86" i="3"/>
  <c r="H86" i="4"/>
  <c r="N87" i="3"/>
  <c r="H87" i="4"/>
  <c r="N88" i="3"/>
  <c r="H88" i="4"/>
  <c r="N89" i="3"/>
  <c r="H89" i="4"/>
  <c r="N90" i="3"/>
  <c r="H90" i="4"/>
  <c r="N91" i="3"/>
  <c r="H91" i="4"/>
  <c r="N92" i="3"/>
  <c r="H92" i="4"/>
  <c r="N93" i="3"/>
  <c r="H93" i="4"/>
  <c r="N94" i="3"/>
  <c r="H94" i="4"/>
  <c r="N95" i="3"/>
  <c r="H95" i="4"/>
  <c r="N96" i="3"/>
  <c r="H96" i="4"/>
  <c r="N97" i="3"/>
  <c r="H97" i="4"/>
  <c r="N98" i="3"/>
  <c r="H98" i="4"/>
  <c r="N99" i="3"/>
  <c r="H99" i="4"/>
  <c r="N100" i="3"/>
  <c r="H100" i="4"/>
  <c r="N101" i="3"/>
  <c r="H101" i="4"/>
  <c r="N102" i="3"/>
  <c r="H102" i="4"/>
  <c r="N103" i="3"/>
  <c r="H103" i="4"/>
  <c r="N104" i="3"/>
  <c r="H104" i="4"/>
  <c r="N105" i="3"/>
  <c r="H105" i="4"/>
  <c r="N106" i="3"/>
  <c r="H106" i="4"/>
  <c r="N107" i="3"/>
  <c r="H107" i="4"/>
  <c r="N108" i="3"/>
  <c r="H108" i="4"/>
  <c r="N109" i="3"/>
  <c r="H109" i="4"/>
  <c r="N110" i="3"/>
  <c r="H110" i="4"/>
  <c r="N111" i="3"/>
  <c r="H111" i="4"/>
  <c r="N112" i="3"/>
  <c r="H112" i="4"/>
  <c r="N113" i="3"/>
  <c r="H113" i="4"/>
  <c r="N114" i="3"/>
  <c r="H114" i="4"/>
  <c r="N115" i="3"/>
  <c r="H115" i="4"/>
  <c r="N116" i="3"/>
  <c r="H116" i="4"/>
  <c r="N117" i="3"/>
  <c r="H117" i="4"/>
  <c r="N118" i="3"/>
  <c r="H118" i="4"/>
  <c r="N119" i="3"/>
  <c r="H119" i="4"/>
  <c r="N120" i="3"/>
  <c r="H120" i="4"/>
  <c r="N121" i="3"/>
  <c r="H121" i="4"/>
  <c r="N122" i="3"/>
  <c r="H122" i="4"/>
  <c r="N123" i="3"/>
  <c r="H123" i="4"/>
  <c r="N124" i="3"/>
  <c r="H124" i="4"/>
  <c r="N125" i="3"/>
  <c r="H125" i="4"/>
  <c r="N126" i="3"/>
  <c r="H126" i="4"/>
  <c r="N127" i="3"/>
  <c r="H127" i="4"/>
  <c r="N128" i="3"/>
  <c r="H128" i="4"/>
  <c r="N129" i="3"/>
  <c r="H129" i="4"/>
  <c r="N130" i="3"/>
  <c r="H130" i="4"/>
  <c r="N131" i="3"/>
  <c r="H131" i="4"/>
  <c r="N132" i="3"/>
  <c r="H132" i="4"/>
  <c r="N133" i="3"/>
  <c r="H133" i="4"/>
  <c r="N134" i="3"/>
  <c r="H134" i="4"/>
  <c r="N135" i="3"/>
  <c r="H135" i="4"/>
  <c r="N136" i="3"/>
  <c r="H136" i="4"/>
  <c r="N137" i="3"/>
  <c r="H137" i="4"/>
  <c r="N138" i="3"/>
  <c r="H138" i="4"/>
  <c r="N139" i="3"/>
  <c r="H139" i="4"/>
  <c r="N140" i="3"/>
  <c r="H140" i="4"/>
  <c r="N141" i="3"/>
  <c r="H141" i="4"/>
  <c r="N142" i="3"/>
  <c r="H142" i="4"/>
  <c r="N143" i="3"/>
  <c r="H143" i="4"/>
  <c r="N144" i="3"/>
  <c r="H144" i="4"/>
  <c r="N145" i="3"/>
  <c r="H145" i="4"/>
  <c r="N146" i="3"/>
  <c r="H146" i="4"/>
  <c r="N147" i="3"/>
  <c r="H147" i="4"/>
  <c r="N148" i="3"/>
  <c r="H148" i="4"/>
  <c r="N149" i="3"/>
  <c r="H149" i="4"/>
  <c r="N150" i="3"/>
  <c r="H150" i="4"/>
  <c r="N151" i="3"/>
  <c r="H151" i="4"/>
  <c r="N152" i="3"/>
  <c r="H152" i="4"/>
  <c r="N153" i="3"/>
  <c r="H153" i="4"/>
  <c r="N154" i="3"/>
  <c r="H154" i="4"/>
  <c r="N155" i="3"/>
  <c r="H155" i="4"/>
  <c r="N156" i="3"/>
  <c r="H156" i="4"/>
  <c r="N157" i="3"/>
  <c r="H157" i="4"/>
  <c r="N158" i="3"/>
  <c r="H158" i="4"/>
  <c r="N159" i="3"/>
  <c r="H159" i="4"/>
  <c r="N160" i="3"/>
  <c r="H160" i="4"/>
  <c r="N161" i="3"/>
  <c r="H161" i="4"/>
  <c r="N162" i="3"/>
  <c r="H162" i="4"/>
  <c r="N163" i="3"/>
  <c r="H163" i="4"/>
  <c r="N164" i="3"/>
  <c r="H164" i="4"/>
  <c r="N165" i="3"/>
  <c r="H165" i="4"/>
  <c r="N166" i="3"/>
  <c r="H166" i="4"/>
  <c r="N167" i="3"/>
  <c r="H167" i="4"/>
  <c r="N168" i="3"/>
  <c r="H168" i="4"/>
  <c r="N169" i="3"/>
  <c r="H169" i="4"/>
  <c r="N170" i="3"/>
  <c r="H170" i="4"/>
  <c r="N171" i="3"/>
  <c r="H171" i="4"/>
  <c r="N172" i="3"/>
  <c r="H172" i="4"/>
  <c r="N173" i="3"/>
  <c r="H173" i="4"/>
  <c r="N174" i="3"/>
  <c r="H174" i="4"/>
  <c r="N175" i="3"/>
  <c r="H175" i="4"/>
  <c r="N176" i="3"/>
  <c r="H176" i="4"/>
  <c r="N177" i="3"/>
  <c r="H177" i="4"/>
  <c r="N178" i="3"/>
  <c r="H178" i="4"/>
  <c r="N179" i="3"/>
  <c r="H179" i="4"/>
  <c r="N180" i="3"/>
  <c r="H180" i="4"/>
  <c r="N181" i="3"/>
  <c r="H181" i="4"/>
  <c r="N182" i="3"/>
  <c r="H182" i="4"/>
  <c r="N183" i="3"/>
  <c r="H183" i="4"/>
  <c r="N184" i="3"/>
  <c r="H184" i="4"/>
  <c r="N185" i="3"/>
  <c r="H185" i="4"/>
  <c r="N186" i="3"/>
  <c r="H186" i="4"/>
  <c r="N187" i="3"/>
  <c r="H187" i="4"/>
  <c r="N188" i="3"/>
  <c r="H188" i="4"/>
  <c r="N189" i="3"/>
  <c r="H189" i="4"/>
  <c r="N190" i="3"/>
  <c r="H190" i="4"/>
  <c r="N191" i="3"/>
  <c r="H191" i="4"/>
  <c r="N192" i="3"/>
  <c r="H192" i="4"/>
  <c r="N193" i="3"/>
  <c r="H193" i="4"/>
  <c r="N194" i="3"/>
  <c r="H194" i="4"/>
  <c r="N195" i="3"/>
  <c r="H195" i="4"/>
  <c r="N196" i="3"/>
  <c r="H196" i="4"/>
  <c r="N197" i="3"/>
  <c r="H197" i="4"/>
  <c r="N198" i="3"/>
  <c r="H198" i="4"/>
  <c r="N199" i="3"/>
  <c r="H199" i="4"/>
  <c r="N200" i="3"/>
  <c r="H200" i="4"/>
  <c r="N201" i="3"/>
  <c r="H201" i="4"/>
  <c r="N202" i="3"/>
  <c r="H202" i="4"/>
  <c r="N203" i="3"/>
  <c r="H203" i="4"/>
  <c r="N204" i="3"/>
  <c r="H204" i="4"/>
  <c r="N205" i="3"/>
  <c r="H205" i="4"/>
  <c r="N206" i="3"/>
  <c r="H206" i="4"/>
  <c r="N207" i="3"/>
  <c r="H207" i="4"/>
  <c r="N208" i="3"/>
  <c r="H208" i="4"/>
  <c r="N209" i="3"/>
  <c r="H209" i="4"/>
  <c r="N210" i="3"/>
  <c r="H210" i="4"/>
  <c r="N211" i="3"/>
  <c r="H211" i="4"/>
  <c r="N212" i="3"/>
  <c r="H212" i="4"/>
  <c r="N213" i="3"/>
  <c r="H213" i="4"/>
  <c r="N214" i="3"/>
  <c r="H214" i="4"/>
  <c r="N215" i="3"/>
  <c r="H215" i="4"/>
  <c r="N216" i="3"/>
  <c r="H216" i="4"/>
  <c r="N217" i="3"/>
  <c r="H217" i="4"/>
  <c r="N218" i="3"/>
  <c r="H218" i="4"/>
  <c r="N219" i="3"/>
  <c r="H219" i="4"/>
  <c r="N220" i="3"/>
  <c r="H220" i="4"/>
  <c r="N221" i="3"/>
  <c r="H221" i="4"/>
  <c r="N222" i="3"/>
  <c r="H222" i="4"/>
  <c r="N223" i="3"/>
  <c r="H223" i="4"/>
  <c r="N224" i="3"/>
  <c r="H224" i="4"/>
  <c r="N225" i="3"/>
  <c r="H225" i="4"/>
  <c r="N226" i="3"/>
  <c r="H226" i="4"/>
  <c r="N227" i="3"/>
  <c r="H227" i="4"/>
  <c r="N228" i="3"/>
  <c r="H228" i="4"/>
  <c r="N229" i="3"/>
  <c r="H229" i="4"/>
  <c r="N230" i="3"/>
  <c r="H230" i="4"/>
  <c r="N231" i="3"/>
  <c r="H231" i="4"/>
  <c r="N232" i="3"/>
  <c r="H232" i="4"/>
  <c r="N233" i="3"/>
  <c r="H233" i="4"/>
  <c r="N234" i="3"/>
  <c r="H234" i="4"/>
  <c r="N235" i="3"/>
  <c r="H235" i="4"/>
  <c r="N236" i="3"/>
  <c r="H236" i="4"/>
  <c r="N237" i="3"/>
  <c r="H237" i="4"/>
  <c r="N238" i="3"/>
  <c r="H238" i="4"/>
  <c r="N239" i="3"/>
  <c r="H239" i="4"/>
  <c r="N240" i="3"/>
  <c r="H240" i="4"/>
  <c r="N241" i="3"/>
  <c r="H241" i="4"/>
  <c r="N242" i="3"/>
  <c r="H242" i="4"/>
  <c r="N243" i="3"/>
  <c r="H243" i="4"/>
  <c r="N244" i="3"/>
  <c r="H244" i="4"/>
  <c r="N245" i="3"/>
  <c r="H245" i="4"/>
  <c r="N246" i="3"/>
  <c r="H246" i="4"/>
  <c r="N247" i="3"/>
  <c r="H247" i="4"/>
  <c r="N248" i="3"/>
  <c r="H248" i="4"/>
  <c r="N249" i="3"/>
  <c r="H249" i="4"/>
  <c r="N250" i="3"/>
  <c r="H250" i="4"/>
  <c r="N251" i="3"/>
  <c r="H251" i="4"/>
  <c r="N252" i="3"/>
  <c r="H252" i="4"/>
  <c r="N253" i="3"/>
  <c r="H253" i="4"/>
  <c r="N254" i="3"/>
  <c r="H254" i="4"/>
  <c r="N255" i="3"/>
  <c r="H255" i="4"/>
  <c r="N256" i="3"/>
  <c r="H256" i="4"/>
  <c r="N257" i="3"/>
  <c r="H257" i="4"/>
  <c r="N258" i="3"/>
  <c r="H258" i="4"/>
  <c r="N259" i="3"/>
  <c r="H259" i="4"/>
  <c r="N260" i="3"/>
  <c r="H260" i="4"/>
  <c r="N261" i="3"/>
  <c r="H261" i="4"/>
  <c r="N262" i="3"/>
  <c r="H262" i="4"/>
  <c r="N263" i="3"/>
  <c r="H263" i="4"/>
  <c r="N264" i="3"/>
  <c r="H264" i="4"/>
  <c r="N265" i="3"/>
  <c r="H265" i="4"/>
  <c r="N266" i="3"/>
  <c r="H266" i="4"/>
  <c r="N267" i="3"/>
  <c r="H267" i="4"/>
  <c r="N268" i="3"/>
  <c r="H268" i="4"/>
  <c r="N269" i="3"/>
  <c r="H269" i="4"/>
  <c r="N270" i="3"/>
  <c r="H270" i="4"/>
  <c r="N271" i="3"/>
  <c r="H271" i="4"/>
  <c r="N272" i="3"/>
  <c r="H272" i="4"/>
  <c r="N273" i="3"/>
  <c r="H273" i="4"/>
  <c r="N274" i="3"/>
  <c r="H274" i="4"/>
  <c r="N275" i="3"/>
  <c r="H275" i="4"/>
  <c r="N276" i="3"/>
  <c r="H276" i="4"/>
  <c r="N277" i="3"/>
  <c r="H277" i="4"/>
  <c r="N278" i="3"/>
  <c r="H278" i="4"/>
  <c r="N279" i="3"/>
  <c r="H279" i="4"/>
  <c r="N280" i="3"/>
  <c r="H280" i="4"/>
  <c r="N281" i="3"/>
  <c r="H281" i="4"/>
  <c r="N282" i="3"/>
  <c r="H282" i="4"/>
  <c r="N283" i="3"/>
  <c r="H283" i="4"/>
  <c r="N284" i="3"/>
  <c r="H284" i="4"/>
  <c r="N285" i="3"/>
  <c r="H285" i="4"/>
  <c r="N286" i="3"/>
  <c r="H286" i="4"/>
  <c r="N287" i="3"/>
  <c r="H287" i="4"/>
  <c r="N288" i="3"/>
  <c r="H288" i="4"/>
  <c r="N289" i="3"/>
  <c r="H289" i="4"/>
  <c r="N290" i="3"/>
  <c r="H290" i="4"/>
  <c r="N291" i="3"/>
  <c r="H291" i="4"/>
  <c r="N292" i="3"/>
  <c r="H292" i="4"/>
  <c r="N293" i="3"/>
  <c r="H293" i="4"/>
  <c r="N294" i="3"/>
  <c r="H294" i="4"/>
  <c r="N295" i="3"/>
  <c r="H295" i="4"/>
  <c r="N296" i="3"/>
  <c r="H296" i="4"/>
  <c r="N297" i="3"/>
  <c r="H297" i="4"/>
  <c r="N298" i="3"/>
  <c r="H298" i="4"/>
  <c r="N299" i="3"/>
  <c r="H299" i="4"/>
  <c r="N300" i="3"/>
  <c r="H300" i="4"/>
  <c r="N301" i="3"/>
  <c r="H301" i="4"/>
  <c r="N302" i="3"/>
  <c r="H302" i="4"/>
  <c r="N303" i="3"/>
  <c r="H303" i="4"/>
  <c r="N304" i="3"/>
  <c r="H304" i="4"/>
  <c r="N305" i="3"/>
  <c r="H305" i="4"/>
  <c r="H306"/>
  <c r="E98" i="1"/>
  <c r="D5" i="2"/>
  <c r="C22" i="15"/>
  <c r="C23"/>
  <c r="C24"/>
  <c r="C26"/>
  <c r="E22"/>
  <c r="E23"/>
  <c r="H307" i="4"/>
  <c r="D24" i="15"/>
  <c r="E24"/>
  <c r="C18"/>
  <c r="D81"/>
  <c r="F91"/>
  <c r="F90"/>
  <c r="F89"/>
  <c r="H65"/>
  <c r="D28" i="13"/>
  <c r="D110"/>
  <c r="F28"/>
  <c r="D111"/>
  <c r="E11" i="12"/>
  <c r="E13"/>
  <c r="E20"/>
  <c r="D65"/>
  <c r="F65"/>
  <c r="H65"/>
  <c r="E21"/>
  <c r="D66"/>
  <c r="F66"/>
  <c r="H66"/>
  <c r="H67"/>
  <c r="E26"/>
  <c r="E29"/>
  <c r="D72"/>
  <c r="F72"/>
  <c r="H72"/>
  <c r="E30"/>
  <c r="D73"/>
  <c r="F73"/>
  <c r="H73"/>
  <c r="H74"/>
  <c r="E77"/>
  <c r="C28" i="13"/>
  <c r="D109"/>
  <c r="D113"/>
  <c r="C2"/>
  <c r="D114"/>
  <c r="D115"/>
  <c r="D116"/>
  <c r="D118"/>
  <c r="F21"/>
  <c r="R28"/>
  <c r="S28"/>
  <c r="V28"/>
  <c r="W28"/>
  <c r="S27"/>
  <c r="V27"/>
  <c r="W27"/>
  <c r="X28"/>
  <c r="D119"/>
  <c r="D120"/>
  <c r="D135"/>
  <c r="E67" i="15"/>
  <c r="D29" i="13"/>
  <c r="E110"/>
  <c r="F29"/>
  <c r="E111"/>
  <c r="C29"/>
  <c r="E109"/>
  <c r="E113"/>
  <c r="E114"/>
  <c r="E115"/>
  <c r="E116"/>
  <c r="E118"/>
  <c r="R29"/>
  <c r="S29"/>
  <c r="V29"/>
  <c r="W29"/>
  <c r="X29"/>
  <c r="E119"/>
  <c r="E120"/>
  <c r="D136"/>
  <c r="E68" i="15"/>
  <c r="D30" i="13"/>
  <c r="F110"/>
  <c r="F30"/>
  <c r="F111"/>
  <c r="C30"/>
  <c r="F109"/>
  <c r="F113"/>
  <c r="F114"/>
  <c r="F115"/>
  <c r="F116"/>
  <c r="F118"/>
  <c r="R30"/>
  <c r="S30"/>
  <c r="V30"/>
  <c r="W30"/>
  <c r="X30"/>
  <c r="F119"/>
  <c r="F120"/>
  <c r="D137"/>
  <c r="E69" i="15"/>
  <c r="D31" i="13"/>
  <c r="G110"/>
  <c r="F31"/>
  <c r="G111"/>
  <c r="C31"/>
  <c r="G109"/>
  <c r="G113"/>
  <c r="G114"/>
  <c r="G115"/>
  <c r="G116"/>
  <c r="G118"/>
  <c r="R31"/>
  <c r="S31"/>
  <c r="V31"/>
  <c r="W31"/>
  <c r="X31"/>
  <c r="G119"/>
  <c r="G120"/>
  <c r="G80" i="6"/>
  <c r="D126" i="13"/>
  <c r="D128"/>
  <c r="G79" i="6"/>
  <c r="D125" i="13"/>
  <c r="D127"/>
  <c r="D124"/>
  <c r="D130"/>
  <c r="D138"/>
  <c r="E70" i="15"/>
  <c r="H71"/>
  <c r="D91"/>
  <c r="E13" i="8"/>
  <c r="E16"/>
  <c r="E18"/>
  <c r="C91" i="15"/>
  <c r="E91"/>
  <c r="H48"/>
  <c r="E13" i="11"/>
  <c r="D37"/>
  <c r="D38"/>
  <c r="D36"/>
  <c r="D40"/>
  <c r="D41"/>
  <c r="D42"/>
  <c r="L28"/>
  <c r="D43"/>
  <c r="D45"/>
  <c r="F21"/>
  <c r="R28"/>
  <c r="S28"/>
  <c r="V28"/>
  <c r="W28"/>
  <c r="S27"/>
  <c r="V27"/>
  <c r="W27"/>
  <c r="X28"/>
  <c r="D46"/>
  <c r="D47"/>
  <c r="D62"/>
  <c r="E52" i="15"/>
  <c r="E37" i="11"/>
  <c r="E38"/>
  <c r="E36"/>
  <c r="E40"/>
  <c r="E41"/>
  <c r="E42"/>
  <c r="L29"/>
  <c r="E43"/>
  <c r="E45"/>
  <c r="R29"/>
  <c r="S29"/>
  <c r="V29"/>
  <c r="W29"/>
  <c r="X29"/>
  <c r="E46"/>
  <c r="E47"/>
  <c r="D63"/>
  <c r="E53" i="15"/>
  <c r="F37" i="11"/>
  <c r="F38"/>
  <c r="F36"/>
  <c r="F40"/>
  <c r="F41"/>
  <c r="F42"/>
  <c r="L30"/>
  <c r="F43"/>
  <c r="F45"/>
  <c r="R30"/>
  <c r="S30"/>
  <c r="V30"/>
  <c r="W30"/>
  <c r="X30"/>
  <c r="F46"/>
  <c r="F47"/>
  <c r="D64"/>
  <c r="E54" i="15"/>
  <c r="G37" i="11"/>
  <c r="G38"/>
  <c r="G36"/>
  <c r="G40"/>
  <c r="G41"/>
  <c r="G42"/>
  <c r="L31"/>
  <c r="G43"/>
  <c r="G45"/>
  <c r="R31"/>
  <c r="S31"/>
  <c r="V31"/>
  <c r="W31"/>
  <c r="X31"/>
  <c r="G46"/>
  <c r="G47"/>
  <c r="D53"/>
  <c r="D55"/>
  <c r="D52"/>
  <c r="D54"/>
  <c r="D51"/>
  <c r="D57"/>
  <c r="D65"/>
  <c r="E55" i="15"/>
  <c r="H54"/>
  <c r="D90"/>
  <c r="E16" i="11"/>
  <c r="E18"/>
  <c r="H58" i="15"/>
  <c r="E90"/>
  <c r="H31"/>
  <c r="D38" i="8"/>
  <c r="D39"/>
  <c r="D37"/>
  <c r="D41"/>
  <c r="D42"/>
  <c r="D43"/>
  <c r="D44"/>
  <c r="D46"/>
  <c r="F21"/>
  <c r="R28"/>
  <c r="S28"/>
  <c r="W28"/>
  <c r="Q27"/>
  <c r="S27"/>
  <c r="W27"/>
  <c r="X28"/>
  <c r="D47"/>
  <c r="D48"/>
  <c r="D63"/>
  <c r="E35" i="15"/>
  <c r="E38" i="8"/>
  <c r="F29"/>
  <c r="E39"/>
  <c r="E37"/>
  <c r="E41"/>
  <c r="E42"/>
  <c r="E43"/>
  <c r="E44"/>
  <c r="E46"/>
  <c r="R29"/>
  <c r="S29"/>
  <c r="W29"/>
  <c r="X29"/>
  <c r="E47"/>
  <c r="E48"/>
  <c r="D64"/>
  <c r="E36" i="15"/>
  <c r="F38" i="8"/>
  <c r="F39"/>
  <c r="F37"/>
  <c r="F41"/>
  <c r="F42"/>
  <c r="F43"/>
  <c r="F44"/>
  <c r="F46"/>
  <c r="R30"/>
  <c r="S30"/>
  <c r="W30"/>
  <c r="X30"/>
  <c r="F47"/>
  <c r="F48"/>
  <c r="D65"/>
  <c r="E37" i="15"/>
  <c r="G38" i="8"/>
  <c r="G39"/>
  <c r="G37"/>
  <c r="G41"/>
  <c r="G42"/>
  <c r="G43"/>
  <c r="G44"/>
  <c r="G46"/>
  <c r="R31"/>
  <c r="S31"/>
  <c r="W31"/>
  <c r="X31"/>
  <c r="G47"/>
  <c r="G48"/>
  <c r="D54"/>
  <c r="D56"/>
  <c r="D53"/>
  <c r="D55"/>
  <c r="D52"/>
  <c r="D58"/>
  <c r="D66"/>
  <c r="E38" i="15"/>
  <c r="H37"/>
  <c r="H41"/>
  <c r="E89"/>
  <c r="D89"/>
  <c r="C90"/>
  <c r="E16" i="13"/>
  <c r="E18"/>
  <c r="C89" i="15"/>
  <c r="C14" l="1"/>
  <c r="C69" i="11"/>
  <c r="C71"/>
  <c r="C68" i="8"/>
  <c r="C70"/>
  <c r="C72"/>
  <c r="C140" i="13"/>
  <c r="C142"/>
  <c r="C144"/>
  <c r="H75" i="15"/>
  <c r="E65" i="12"/>
  <c r="K73"/>
  <c r="E66"/>
  <c r="E72"/>
  <c r="E73"/>
  <c r="D12" i="9"/>
  <c r="F8" i="1"/>
  <c r="F9"/>
  <c r="E34" i="6"/>
  <c r="E48"/>
  <c r="G6"/>
  <c r="G7"/>
  <c r="G8"/>
  <c r="G9"/>
  <c r="E10"/>
  <c r="E17"/>
  <c r="D103"/>
  <c r="E68" i="1"/>
  <c r="E74"/>
  <c r="E82"/>
  <c r="D61" i="7"/>
  <c r="D13" i="9"/>
  <c r="D14"/>
  <c r="D15"/>
  <c r="E65" i="1"/>
  <c r="E48"/>
  <c r="E54"/>
  <c r="D29"/>
  <c r="E20"/>
  <c r="D30"/>
  <c r="D31"/>
  <c r="D32"/>
  <c r="E37"/>
  <c r="E76"/>
  <c r="E84"/>
  <c r="D89"/>
  <c r="D93"/>
  <c r="E95"/>
  <c r="E65" i="10"/>
  <c r="K73"/>
  <c r="E66"/>
  <c r="E72"/>
  <c r="E73"/>
  <c r="D61"/>
  <c r="E65" i="7"/>
  <c r="K73"/>
  <c r="E66"/>
  <c r="E72"/>
  <c r="E73"/>
  <c r="O15" i="6"/>
  <c r="O14"/>
  <c r="O13"/>
  <c r="O12"/>
  <c r="O11"/>
  <c r="O10"/>
  <c r="E60"/>
  <c r="O9"/>
  <c r="O7"/>
  <c r="O8"/>
  <c r="O6"/>
  <c r="J28" i="8"/>
  <c r="K28"/>
  <c r="M28"/>
  <c r="E29"/>
  <c r="H29"/>
  <c r="I29"/>
  <c r="J29"/>
  <c r="K29"/>
  <c r="M29"/>
  <c r="J30"/>
  <c r="K30"/>
  <c r="M30"/>
  <c r="J31"/>
  <c r="K31"/>
  <c r="M31"/>
  <c r="D16" i="9"/>
  <c r="D17"/>
  <c r="D18"/>
  <c r="J28" i="11"/>
  <c r="K28"/>
  <c r="M28"/>
  <c r="K29"/>
  <c r="M29"/>
  <c r="K30"/>
  <c r="M30"/>
  <c r="K31"/>
  <c r="M31"/>
  <c r="E28" i="13"/>
  <c r="H28"/>
  <c r="I28"/>
  <c r="J28"/>
  <c r="K28"/>
  <c r="M28"/>
  <c r="E29"/>
  <c r="H29"/>
  <c r="I29"/>
  <c r="J29"/>
  <c r="K29"/>
  <c r="M29"/>
  <c r="E30"/>
  <c r="H30"/>
  <c r="I30"/>
  <c r="J30"/>
  <c r="K30"/>
  <c r="M30"/>
  <c r="E31"/>
  <c r="H31"/>
  <c r="I31"/>
  <c r="J31"/>
  <c r="K31"/>
  <c r="M31"/>
  <c r="N9" i="2"/>
  <c r="N10"/>
  <c r="L8"/>
  <c r="L9"/>
  <c r="L10"/>
  <c r="L11"/>
  <c r="M8"/>
  <c r="M9"/>
  <c r="M10"/>
  <c r="M11"/>
  <c r="I25" i="1"/>
  <c r="I26"/>
  <c r="I27"/>
  <c r="I22"/>
  <c r="I13"/>
  <c r="I14"/>
  <c r="I15"/>
  <c r="I16"/>
  <c r="I17"/>
  <c r="I18"/>
  <c r="I19"/>
  <c r="I29"/>
  <c r="K18"/>
  <c r="K17"/>
  <c r="K16"/>
  <c r="J15"/>
  <c r="K15"/>
  <c r="K14"/>
  <c r="K13"/>
  <c r="E36"/>
  <c r="E35"/>
  <c r="K76" i="12"/>
  <c r="G65"/>
  <c r="G66"/>
  <c r="G67"/>
  <c r="G72"/>
  <c r="G73"/>
  <c r="G74"/>
  <c r="D77"/>
  <c r="F67"/>
  <c r="F74"/>
  <c r="C77"/>
  <c r="D61"/>
  <c r="D44"/>
  <c r="D43"/>
  <c r="D42"/>
  <c r="D38"/>
  <c r="D39"/>
  <c r="D17"/>
  <c r="E6"/>
  <c r="K76" i="10"/>
  <c r="G65"/>
  <c r="G66"/>
  <c r="G67"/>
  <c r="G72"/>
  <c r="G73"/>
  <c r="G74"/>
  <c r="D77"/>
  <c r="F67"/>
  <c r="F74"/>
  <c r="C77"/>
  <c r="D44"/>
  <c r="D43"/>
  <c r="D42"/>
  <c r="D38"/>
  <c r="D39"/>
  <c r="D17"/>
  <c r="K76" i="7"/>
  <c r="G65"/>
  <c r="G66"/>
  <c r="G67"/>
  <c r="G72"/>
  <c r="G73"/>
  <c r="G74"/>
  <c r="D77"/>
  <c r="F67"/>
  <c r="F74"/>
  <c r="C77"/>
  <c r="D44"/>
  <c r="D43"/>
  <c r="D42"/>
  <c r="D38"/>
  <c r="D39"/>
  <c r="D17"/>
  <c r="D114" i="6"/>
  <c r="E12" i="9"/>
  <c r="C13"/>
  <c r="E13"/>
  <c r="C14"/>
  <c r="E14"/>
  <c r="C15"/>
  <c r="E15"/>
  <c r="C16"/>
  <c r="E16"/>
  <c r="C17"/>
  <c r="E17"/>
  <c r="C18"/>
  <c r="E18"/>
  <c r="K10" i="4"/>
  <c r="L10"/>
  <c r="M10"/>
  <c r="N10"/>
  <c r="O10"/>
  <c r="Q10"/>
  <c r="R10"/>
  <c r="K11"/>
  <c r="L11"/>
  <c r="M11"/>
  <c r="N11"/>
  <c r="O11"/>
  <c r="Q11"/>
  <c r="R11"/>
  <c r="K12"/>
  <c r="L12"/>
  <c r="M12"/>
  <c r="N12"/>
  <c r="O12"/>
  <c r="Q12"/>
  <c r="R12"/>
  <c r="K13"/>
  <c r="L13"/>
  <c r="M13"/>
  <c r="N13"/>
  <c r="O13"/>
  <c r="Q13"/>
  <c r="R13"/>
  <c r="K14"/>
  <c r="L14"/>
  <c r="M14"/>
  <c r="N14"/>
  <c r="O14"/>
  <c r="Q14"/>
  <c r="R14"/>
  <c r="K15"/>
  <c r="L15"/>
  <c r="M15"/>
  <c r="N15"/>
  <c r="O15"/>
  <c r="Q15"/>
  <c r="R15"/>
  <c r="K16"/>
  <c r="L16"/>
  <c r="M16"/>
  <c r="N16"/>
  <c r="O16"/>
  <c r="Q16"/>
  <c r="R16"/>
  <c r="K17"/>
  <c r="L17"/>
  <c r="M17"/>
  <c r="N17"/>
  <c r="O17"/>
  <c r="Q17"/>
  <c r="R17"/>
  <c r="K18"/>
  <c r="L18"/>
  <c r="M18"/>
  <c r="N18"/>
  <c r="O18"/>
  <c r="Q18"/>
  <c r="R18"/>
  <c r="K19"/>
  <c r="L19"/>
  <c r="M19"/>
  <c r="N19"/>
  <c r="O19"/>
  <c r="Q19"/>
  <c r="R19"/>
  <c r="K20"/>
  <c r="L20"/>
  <c r="M20"/>
  <c r="N20"/>
  <c r="O20"/>
  <c r="Q20"/>
  <c r="R20"/>
  <c r="K21"/>
  <c r="L21"/>
  <c r="M21"/>
  <c r="N21"/>
  <c r="O21"/>
  <c r="Q21"/>
  <c r="R21"/>
  <c r="K22"/>
  <c r="L22"/>
  <c r="M22"/>
  <c r="N22"/>
  <c r="O22"/>
  <c r="Q22"/>
  <c r="R22"/>
  <c r="K23"/>
  <c r="L23"/>
  <c r="M23"/>
  <c r="N23"/>
  <c r="O23"/>
  <c r="Q23"/>
  <c r="R23"/>
  <c r="K24"/>
  <c r="L24"/>
  <c r="M24"/>
  <c r="N24"/>
  <c r="O24"/>
  <c r="Q24"/>
  <c r="R24"/>
  <c r="K25"/>
  <c r="L25"/>
  <c r="M25"/>
  <c r="N25"/>
  <c r="O25"/>
  <c r="Q25"/>
  <c r="R25"/>
  <c r="K26"/>
  <c r="L26"/>
  <c r="M26"/>
  <c r="N26"/>
  <c r="O26"/>
  <c r="Q26"/>
  <c r="R26"/>
  <c r="K27"/>
  <c r="L27"/>
  <c r="M27"/>
  <c r="N27"/>
  <c r="O27"/>
  <c r="Q27"/>
  <c r="R27"/>
  <c r="K28"/>
  <c r="L28"/>
  <c r="M28"/>
  <c r="N28"/>
  <c r="O28"/>
  <c r="Q28"/>
  <c r="R28"/>
  <c r="K29"/>
  <c r="L29"/>
  <c r="M29"/>
  <c r="N29"/>
  <c r="O29"/>
  <c r="Q29"/>
  <c r="R29"/>
  <c r="K30"/>
  <c r="L30"/>
  <c r="M30"/>
  <c r="N30"/>
  <c r="O30"/>
  <c r="Q30"/>
  <c r="R30"/>
  <c r="K31"/>
  <c r="L31"/>
  <c r="M31"/>
  <c r="N31"/>
  <c r="O31"/>
  <c r="Q31"/>
  <c r="R31"/>
  <c r="K32"/>
  <c r="L32"/>
  <c r="M32"/>
  <c r="N32"/>
  <c r="O32"/>
  <c r="Q32"/>
  <c r="R32"/>
  <c r="K33"/>
  <c r="L33"/>
  <c r="M33"/>
  <c r="N33"/>
  <c r="O33"/>
  <c r="Q33"/>
  <c r="R33"/>
  <c r="K34"/>
  <c r="L34"/>
  <c r="M34"/>
  <c r="N34"/>
  <c r="O34"/>
  <c r="Q34"/>
  <c r="R34"/>
  <c r="K35"/>
  <c r="L35"/>
  <c r="M35"/>
  <c r="N35"/>
  <c r="O35"/>
  <c r="Q35"/>
  <c r="R35"/>
  <c r="K36"/>
  <c r="L36"/>
  <c r="M36"/>
  <c r="N36"/>
  <c r="O36"/>
  <c r="Q36"/>
  <c r="R36"/>
  <c r="K37"/>
  <c r="L37"/>
  <c r="M37"/>
  <c r="N37"/>
  <c r="O37"/>
  <c r="Q37"/>
  <c r="R37"/>
  <c r="K38"/>
  <c r="L38"/>
  <c r="M38"/>
  <c r="N38"/>
  <c r="O38"/>
  <c r="Q38"/>
  <c r="R38"/>
  <c r="K39"/>
  <c r="L39"/>
  <c r="M39"/>
  <c r="N39"/>
  <c r="O39"/>
  <c r="Q39"/>
  <c r="R39"/>
  <c r="K40"/>
  <c r="L40"/>
  <c r="M40"/>
  <c r="N40"/>
  <c r="O40"/>
  <c r="Q40"/>
  <c r="R40"/>
  <c r="K41"/>
  <c r="L41"/>
  <c r="M41"/>
  <c r="N41"/>
  <c r="O41"/>
  <c r="Q41"/>
  <c r="R41"/>
  <c r="K42"/>
  <c r="L42"/>
  <c r="M42"/>
  <c r="N42"/>
  <c r="O42"/>
  <c r="Q42"/>
  <c r="R42"/>
  <c r="K43"/>
  <c r="L43"/>
  <c r="M43"/>
  <c r="N43"/>
  <c r="O43"/>
  <c r="Q43"/>
  <c r="R43"/>
  <c r="K44"/>
  <c r="L44"/>
  <c r="M44"/>
  <c r="N44"/>
  <c r="O44"/>
  <c r="Q44"/>
  <c r="R44"/>
  <c r="K45"/>
  <c r="L45"/>
  <c r="M45"/>
  <c r="N45"/>
  <c r="O45"/>
  <c r="Q45"/>
  <c r="R45"/>
  <c r="K46"/>
  <c r="L46"/>
  <c r="M46"/>
  <c r="N46"/>
  <c r="O46"/>
  <c r="Q46"/>
  <c r="R46"/>
  <c r="K47"/>
  <c r="L47"/>
  <c r="M47"/>
  <c r="N47"/>
  <c r="O47"/>
  <c r="Q47"/>
  <c r="R47"/>
  <c r="K48"/>
  <c r="L48"/>
  <c r="M48"/>
  <c r="N48"/>
  <c r="O48"/>
  <c r="Q48"/>
  <c r="R48"/>
  <c r="K49"/>
  <c r="L49"/>
  <c r="M49"/>
  <c r="N49"/>
  <c r="O49"/>
  <c r="Q49"/>
  <c r="R49"/>
  <c r="K50"/>
  <c r="L50"/>
  <c r="M50"/>
  <c r="N50"/>
  <c r="O50"/>
  <c r="Q50"/>
  <c r="R50"/>
  <c r="K51"/>
  <c r="L51"/>
  <c r="M51"/>
  <c r="N51"/>
  <c r="O51"/>
  <c r="Q51"/>
  <c r="R51"/>
  <c r="K52"/>
  <c r="L52"/>
  <c r="M52"/>
  <c r="N52"/>
  <c r="O52"/>
  <c r="Q52"/>
  <c r="R52"/>
  <c r="K53"/>
  <c r="L53"/>
  <c r="M53"/>
  <c r="N53"/>
  <c r="O53"/>
  <c r="Q53"/>
  <c r="R53"/>
  <c r="K54"/>
  <c r="L54"/>
  <c r="M54"/>
  <c r="N54"/>
  <c r="O54"/>
  <c r="Q54"/>
  <c r="R54"/>
  <c r="K55"/>
  <c r="L55"/>
  <c r="M55"/>
  <c r="N55"/>
  <c r="O55"/>
  <c r="Q55"/>
  <c r="R55"/>
  <c r="K56"/>
  <c r="L56"/>
  <c r="M56"/>
  <c r="N56"/>
  <c r="O56"/>
  <c r="Q56"/>
  <c r="R56"/>
  <c r="K57"/>
  <c r="L57"/>
  <c r="M57"/>
  <c r="N57"/>
  <c r="O57"/>
  <c r="Q57"/>
  <c r="R57"/>
  <c r="K58"/>
  <c r="L58"/>
  <c r="M58"/>
  <c r="N58"/>
  <c r="O58"/>
  <c r="Q58"/>
  <c r="R58"/>
  <c r="K59"/>
  <c r="L59"/>
  <c r="M59"/>
  <c r="N59"/>
  <c r="O59"/>
  <c r="Q59"/>
  <c r="R59"/>
  <c r="K60"/>
  <c r="L60"/>
  <c r="M60"/>
  <c r="N60"/>
  <c r="O60"/>
  <c r="Q60"/>
  <c r="R60"/>
  <c r="K61"/>
  <c r="L61"/>
  <c r="M61"/>
  <c r="N61"/>
  <c r="O61"/>
  <c r="Q61"/>
  <c r="R61"/>
  <c r="K62"/>
  <c r="L62"/>
  <c r="M62"/>
  <c r="N62"/>
  <c r="O62"/>
  <c r="Q62"/>
  <c r="R62"/>
  <c r="K63"/>
  <c r="L63"/>
  <c r="M63"/>
  <c r="N63"/>
  <c r="O63"/>
  <c r="Q63"/>
  <c r="R63"/>
  <c r="K64"/>
  <c r="L64"/>
  <c r="M64"/>
  <c r="N64"/>
  <c r="O64"/>
  <c r="Q64"/>
  <c r="R64"/>
  <c r="K65"/>
  <c r="L65"/>
  <c r="M65"/>
  <c r="N65"/>
  <c r="O65"/>
  <c r="Q65"/>
  <c r="R65"/>
  <c r="K66"/>
  <c r="L66"/>
  <c r="M66"/>
  <c r="N66"/>
  <c r="O66"/>
  <c r="Q66"/>
  <c r="R66"/>
  <c r="K67"/>
  <c r="L67"/>
  <c r="M67"/>
  <c r="N67"/>
  <c r="O67"/>
  <c r="Q67"/>
  <c r="R67"/>
  <c r="K68"/>
  <c r="L68"/>
  <c r="M68"/>
  <c r="N68"/>
  <c r="O68"/>
  <c r="Q68"/>
  <c r="R68"/>
  <c r="K69"/>
  <c r="L69"/>
  <c r="M69"/>
  <c r="N69"/>
  <c r="O69"/>
  <c r="Q69"/>
  <c r="R69"/>
  <c r="K70"/>
  <c r="L70"/>
  <c r="P65" i="3"/>
  <c r="Q65"/>
  <c r="L66"/>
  <c r="M66"/>
  <c r="M70" i="4"/>
  <c r="N70"/>
  <c r="O70"/>
  <c r="Q70"/>
  <c r="R70"/>
  <c r="K71"/>
  <c r="L71"/>
  <c r="P66" i="3"/>
  <c r="Q66"/>
  <c r="L67"/>
  <c r="M67"/>
  <c r="M71" i="4"/>
  <c r="N71"/>
  <c r="O71"/>
  <c r="Q71"/>
  <c r="R71"/>
  <c r="K72"/>
  <c r="L72"/>
  <c r="P67" i="3"/>
  <c r="Q67"/>
  <c r="L68"/>
  <c r="M68"/>
  <c r="M72" i="4"/>
  <c r="N72"/>
  <c r="O72"/>
  <c r="Q72"/>
  <c r="R72"/>
  <c r="K73"/>
  <c r="L73"/>
  <c r="P68" i="3"/>
  <c r="Q68"/>
  <c r="L69"/>
  <c r="M69"/>
  <c r="M73" i="4"/>
  <c r="N73"/>
  <c r="O73"/>
  <c r="Q73"/>
  <c r="R73"/>
  <c r="K74"/>
  <c r="L74"/>
  <c r="P69" i="3"/>
  <c r="Q69"/>
  <c r="L70"/>
  <c r="M70"/>
  <c r="M74" i="4"/>
  <c r="N74"/>
  <c r="O74"/>
  <c r="Q74"/>
  <c r="R74"/>
  <c r="K75"/>
  <c r="L75"/>
  <c r="P70" i="3"/>
  <c r="Q70"/>
  <c r="L71"/>
  <c r="M71"/>
  <c r="M75" i="4"/>
  <c r="N75"/>
  <c r="O75"/>
  <c r="Q75"/>
  <c r="R75"/>
  <c r="K76"/>
  <c r="L76"/>
  <c r="P71" i="3"/>
  <c r="Q71"/>
  <c r="L72"/>
  <c r="M72"/>
  <c r="M76" i="4"/>
  <c r="N76"/>
  <c r="O76"/>
  <c r="Q76"/>
  <c r="R76"/>
  <c r="K77"/>
  <c r="L77"/>
  <c r="P72" i="3"/>
  <c r="Q72"/>
  <c r="L73"/>
  <c r="M73"/>
  <c r="M77" i="4"/>
  <c r="N77"/>
  <c r="O77"/>
  <c r="Q77"/>
  <c r="R77"/>
  <c r="K78"/>
  <c r="L78"/>
  <c r="P73" i="3"/>
  <c r="Q73"/>
  <c r="L74"/>
  <c r="M74"/>
  <c r="M78" i="4"/>
  <c r="N78"/>
  <c r="O78"/>
  <c r="Q78"/>
  <c r="R78"/>
  <c r="K79"/>
  <c r="L79"/>
  <c r="P74" i="3"/>
  <c r="Q74"/>
  <c r="L75"/>
  <c r="M75"/>
  <c r="M79" i="4"/>
  <c r="N79"/>
  <c r="O79"/>
  <c r="Q79"/>
  <c r="R79"/>
  <c r="K80"/>
  <c r="L80"/>
  <c r="P75" i="3"/>
  <c r="Q75"/>
  <c r="L76"/>
  <c r="M76"/>
  <c r="M80" i="4"/>
  <c r="N80"/>
  <c r="O80"/>
  <c r="Q80"/>
  <c r="R80"/>
  <c r="K81"/>
  <c r="L81"/>
  <c r="P76" i="3"/>
  <c r="Q76"/>
  <c r="L77"/>
  <c r="M77"/>
  <c r="M81" i="4"/>
  <c r="N81"/>
  <c r="O81"/>
  <c r="Q81"/>
  <c r="R81"/>
  <c r="K82"/>
  <c r="L82"/>
  <c r="P77" i="3"/>
  <c r="Q77"/>
  <c r="L78"/>
  <c r="M78"/>
  <c r="M82" i="4"/>
  <c r="N82"/>
  <c r="O82"/>
  <c r="Q82"/>
  <c r="R82"/>
  <c r="K83"/>
  <c r="L83"/>
  <c r="P78" i="3"/>
  <c r="Q78"/>
  <c r="L79"/>
  <c r="M79"/>
  <c r="M83" i="4"/>
  <c r="N83"/>
  <c r="O83"/>
  <c r="Q83"/>
  <c r="R83"/>
  <c r="K84"/>
  <c r="L84"/>
  <c r="P79" i="3"/>
  <c r="Q79"/>
  <c r="L80"/>
  <c r="M80"/>
  <c r="M84" i="4"/>
  <c r="N84"/>
  <c r="O84"/>
  <c r="Q84"/>
  <c r="R84"/>
  <c r="K85"/>
  <c r="L85"/>
  <c r="P80" i="3"/>
  <c r="Q80"/>
  <c r="L81"/>
  <c r="M81"/>
  <c r="M85" i="4"/>
  <c r="N85"/>
  <c r="O85"/>
  <c r="Q85"/>
  <c r="R85"/>
  <c r="K86"/>
  <c r="L86"/>
  <c r="P81" i="3"/>
  <c r="Q81"/>
  <c r="L82"/>
  <c r="M82"/>
  <c r="M86" i="4"/>
  <c r="N86"/>
  <c r="O86"/>
  <c r="Q86"/>
  <c r="R86"/>
  <c r="K87"/>
  <c r="L87"/>
  <c r="P82" i="3"/>
  <c r="Q82"/>
  <c r="L83"/>
  <c r="M83"/>
  <c r="M87" i="4"/>
  <c r="N87"/>
  <c r="O87"/>
  <c r="Q87"/>
  <c r="R87"/>
  <c r="K88"/>
  <c r="L88"/>
  <c r="P83" i="3"/>
  <c r="Q83"/>
  <c r="L84"/>
  <c r="M84"/>
  <c r="M88" i="4"/>
  <c r="N88"/>
  <c r="O88"/>
  <c r="Q88"/>
  <c r="R88"/>
  <c r="K89"/>
  <c r="L89"/>
  <c r="P84" i="3"/>
  <c r="Q84"/>
  <c r="L85"/>
  <c r="M85"/>
  <c r="M89" i="4"/>
  <c r="N89"/>
  <c r="O89"/>
  <c r="Q89"/>
  <c r="R89"/>
  <c r="K90"/>
  <c r="L90"/>
  <c r="P85" i="3"/>
  <c r="Q85"/>
  <c r="L86"/>
  <c r="M86"/>
  <c r="M90" i="4"/>
  <c r="N90"/>
  <c r="O90"/>
  <c r="Q90"/>
  <c r="R90"/>
  <c r="K91"/>
  <c r="L91"/>
  <c r="P86" i="3"/>
  <c r="Q86"/>
  <c r="L87"/>
  <c r="M87"/>
  <c r="M91" i="4"/>
  <c r="N91"/>
  <c r="O91"/>
  <c r="Q91"/>
  <c r="R91"/>
  <c r="K92"/>
  <c r="L92"/>
  <c r="P87" i="3"/>
  <c r="Q87"/>
  <c r="L88"/>
  <c r="M88"/>
  <c r="M92" i="4"/>
  <c r="N92"/>
  <c r="O92"/>
  <c r="Q92"/>
  <c r="R92"/>
  <c r="K93"/>
  <c r="L93"/>
  <c r="P88" i="3"/>
  <c r="Q88"/>
  <c r="L89"/>
  <c r="M89"/>
  <c r="M93" i="4"/>
  <c r="N93"/>
  <c r="O93"/>
  <c r="Q93"/>
  <c r="R93"/>
  <c r="K94"/>
  <c r="L94"/>
  <c r="P89" i="3"/>
  <c r="Q89"/>
  <c r="L90"/>
  <c r="M90"/>
  <c r="M94" i="4"/>
  <c r="N94"/>
  <c r="O94"/>
  <c r="Q94"/>
  <c r="R94"/>
  <c r="K95"/>
  <c r="L95"/>
  <c r="P90" i="3"/>
  <c r="Q90"/>
  <c r="L91"/>
  <c r="M91"/>
  <c r="M95" i="4"/>
  <c r="N95"/>
  <c r="O95"/>
  <c r="Q95"/>
  <c r="R95"/>
  <c r="K96"/>
  <c r="L96"/>
  <c r="P91" i="3"/>
  <c r="Q91"/>
  <c r="L92"/>
  <c r="M92"/>
  <c r="M96" i="4"/>
  <c r="N96"/>
  <c r="O96"/>
  <c r="Q96"/>
  <c r="R96"/>
  <c r="K97"/>
  <c r="L97"/>
  <c r="P92" i="3"/>
  <c r="Q92"/>
  <c r="L93"/>
  <c r="M93"/>
  <c r="M97" i="4"/>
  <c r="N97"/>
  <c r="O97"/>
  <c r="Q97"/>
  <c r="R97"/>
  <c r="K98"/>
  <c r="L98"/>
  <c r="P93" i="3"/>
  <c r="Q93"/>
  <c r="L94"/>
  <c r="M94"/>
  <c r="M98" i="4"/>
  <c r="N98"/>
  <c r="O98"/>
  <c r="Q98"/>
  <c r="R98"/>
  <c r="K99"/>
  <c r="L99"/>
  <c r="P94" i="3"/>
  <c r="Q94"/>
  <c r="L95"/>
  <c r="M95"/>
  <c r="M99" i="4"/>
  <c r="N99"/>
  <c r="O99"/>
  <c r="Q99"/>
  <c r="R99"/>
  <c r="K100"/>
  <c r="L100"/>
  <c r="P95" i="3"/>
  <c r="Q95"/>
  <c r="L96"/>
  <c r="M96"/>
  <c r="M100" i="4"/>
  <c r="N100"/>
  <c r="O100"/>
  <c r="Q100"/>
  <c r="R100"/>
  <c r="K101"/>
  <c r="L101"/>
  <c r="P96" i="3"/>
  <c r="Q96"/>
  <c r="L97"/>
  <c r="M97"/>
  <c r="M101" i="4"/>
  <c r="N101"/>
  <c r="O101"/>
  <c r="Q101"/>
  <c r="R101"/>
  <c r="K102"/>
  <c r="L102"/>
  <c r="P97" i="3"/>
  <c r="Q97"/>
  <c r="L98"/>
  <c r="M98"/>
  <c r="M102" i="4"/>
  <c r="N102"/>
  <c r="O102"/>
  <c r="Q102"/>
  <c r="R102"/>
  <c r="K103"/>
  <c r="L103"/>
  <c r="P98" i="3"/>
  <c r="Q98"/>
  <c r="L99"/>
  <c r="M99"/>
  <c r="M103" i="4"/>
  <c r="N103"/>
  <c r="O103"/>
  <c r="Q103"/>
  <c r="R103"/>
  <c r="K104"/>
  <c r="L104"/>
  <c r="P99" i="3"/>
  <c r="Q99"/>
  <c r="L100"/>
  <c r="M100"/>
  <c r="M104" i="4"/>
  <c r="N104"/>
  <c r="O104"/>
  <c r="Q104"/>
  <c r="R104"/>
  <c r="K105"/>
  <c r="L105"/>
  <c r="P100" i="3"/>
  <c r="Q100"/>
  <c r="L101"/>
  <c r="M101"/>
  <c r="M105" i="4"/>
  <c r="N105"/>
  <c r="O105"/>
  <c r="Q105"/>
  <c r="R105"/>
  <c r="K106"/>
  <c r="L106"/>
  <c r="P101" i="3"/>
  <c r="Q101"/>
  <c r="L102"/>
  <c r="M102"/>
  <c r="M106" i="4"/>
  <c r="N106"/>
  <c r="O106"/>
  <c r="Q106"/>
  <c r="R106"/>
  <c r="K107"/>
  <c r="L107"/>
  <c r="P102" i="3"/>
  <c r="Q102"/>
  <c r="L103"/>
  <c r="M103"/>
  <c r="M107" i="4"/>
  <c r="N107"/>
  <c r="O107"/>
  <c r="Q107"/>
  <c r="R107"/>
  <c r="K108"/>
  <c r="L108"/>
  <c r="P103" i="3"/>
  <c r="Q103"/>
  <c r="L104"/>
  <c r="M104"/>
  <c r="M108" i="4"/>
  <c r="N108"/>
  <c r="O108"/>
  <c r="Q108"/>
  <c r="R108"/>
  <c r="K109"/>
  <c r="L109"/>
  <c r="P104" i="3"/>
  <c r="Q104"/>
  <c r="L105"/>
  <c r="M105"/>
  <c r="M109" i="4"/>
  <c r="N109"/>
  <c r="O109"/>
  <c r="Q109"/>
  <c r="R109"/>
  <c r="K110"/>
  <c r="L110"/>
  <c r="P105" i="3"/>
  <c r="Q105"/>
  <c r="L106"/>
  <c r="M106"/>
  <c r="M110" i="4"/>
  <c r="N110"/>
  <c r="O110"/>
  <c r="Q110"/>
  <c r="R110"/>
  <c r="K111"/>
  <c r="L111"/>
  <c r="P106" i="3"/>
  <c r="Q106"/>
  <c r="L107"/>
  <c r="M107"/>
  <c r="M111" i="4"/>
  <c r="N111"/>
  <c r="O111"/>
  <c r="Q111"/>
  <c r="R111"/>
  <c r="K112"/>
  <c r="L112"/>
  <c r="P107" i="3"/>
  <c r="Q107"/>
  <c r="L108"/>
  <c r="M108"/>
  <c r="M112" i="4"/>
  <c r="N112"/>
  <c r="O112"/>
  <c r="Q112"/>
  <c r="R112"/>
  <c r="K113"/>
  <c r="L113"/>
  <c r="P108" i="3"/>
  <c r="Q108"/>
  <c r="L109"/>
  <c r="M109"/>
  <c r="M113" i="4"/>
  <c r="N113"/>
  <c r="O113"/>
  <c r="Q113"/>
  <c r="R113"/>
  <c r="K114"/>
  <c r="L114"/>
  <c r="P109" i="3"/>
  <c r="Q109"/>
  <c r="L110"/>
  <c r="M110"/>
  <c r="M114" i="4"/>
  <c r="N114"/>
  <c r="O114"/>
  <c r="Q114"/>
  <c r="R114"/>
  <c r="K115"/>
  <c r="L115"/>
  <c r="P110" i="3"/>
  <c r="Q110"/>
  <c r="L111"/>
  <c r="M111"/>
  <c r="M115" i="4"/>
  <c r="N115"/>
  <c r="O115"/>
  <c r="Q115"/>
  <c r="R115"/>
  <c r="K116"/>
  <c r="L116"/>
  <c r="P111" i="3"/>
  <c r="Q111"/>
  <c r="L112"/>
  <c r="M112"/>
  <c r="M116" i="4"/>
  <c r="N116"/>
  <c r="O116"/>
  <c r="Q116"/>
  <c r="R116"/>
  <c r="K117"/>
  <c r="L117"/>
  <c r="P112" i="3"/>
  <c r="Q112"/>
  <c r="L113"/>
  <c r="M113"/>
  <c r="M117" i="4"/>
  <c r="N117"/>
  <c r="O117"/>
  <c r="Q117"/>
  <c r="R117"/>
  <c r="K118"/>
  <c r="L118"/>
  <c r="P113" i="3"/>
  <c r="Q113"/>
  <c r="L114"/>
  <c r="M114"/>
  <c r="M118" i="4"/>
  <c r="N118"/>
  <c r="O118"/>
  <c r="Q118"/>
  <c r="R118"/>
  <c r="K119"/>
  <c r="L119"/>
  <c r="P114" i="3"/>
  <c r="Q114"/>
  <c r="L115"/>
  <c r="M115"/>
  <c r="M119" i="4"/>
  <c r="N119"/>
  <c r="O119"/>
  <c r="Q119"/>
  <c r="R119"/>
  <c r="K120"/>
  <c r="L120"/>
  <c r="P115" i="3"/>
  <c r="Q115"/>
  <c r="L116"/>
  <c r="M116"/>
  <c r="M120" i="4"/>
  <c r="N120"/>
  <c r="O120"/>
  <c r="Q120"/>
  <c r="R120"/>
  <c r="K121"/>
  <c r="L121"/>
  <c r="P116" i="3"/>
  <c r="Q116"/>
  <c r="L117"/>
  <c r="M117"/>
  <c r="M121" i="4"/>
  <c r="N121"/>
  <c r="O121"/>
  <c r="Q121"/>
  <c r="R121"/>
  <c r="K122"/>
  <c r="L122"/>
  <c r="P117" i="3"/>
  <c r="Q117"/>
  <c r="L118"/>
  <c r="M118"/>
  <c r="M122" i="4"/>
  <c r="N122"/>
  <c r="O122"/>
  <c r="Q122"/>
  <c r="R122"/>
  <c r="K123"/>
  <c r="L123"/>
  <c r="P118" i="3"/>
  <c r="Q118"/>
  <c r="L119"/>
  <c r="M119"/>
  <c r="M123" i="4"/>
  <c r="N123"/>
  <c r="O123"/>
  <c r="Q123"/>
  <c r="R123"/>
  <c r="K124"/>
  <c r="L124"/>
  <c r="P119" i="3"/>
  <c r="Q119"/>
  <c r="L120"/>
  <c r="M120"/>
  <c r="M124" i="4"/>
  <c r="N124"/>
  <c r="O124"/>
  <c r="Q124"/>
  <c r="R124"/>
  <c r="K125"/>
  <c r="L125"/>
  <c r="P120" i="3"/>
  <c r="Q120"/>
  <c r="L121"/>
  <c r="M121"/>
  <c r="M125" i="4"/>
  <c r="N125"/>
  <c r="O125"/>
  <c r="Q125"/>
  <c r="R125"/>
  <c r="K126"/>
  <c r="L126"/>
  <c r="P121" i="3"/>
  <c r="Q121"/>
  <c r="L122"/>
  <c r="M122"/>
  <c r="M126" i="4"/>
  <c r="N126"/>
  <c r="O126"/>
  <c r="Q126"/>
  <c r="R126"/>
  <c r="K127"/>
  <c r="L127"/>
  <c r="P122" i="3"/>
  <c r="Q122"/>
  <c r="L123"/>
  <c r="M123"/>
  <c r="M127" i="4"/>
  <c r="N127"/>
  <c r="O127"/>
  <c r="Q127"/>
  <c r="R127"/>
  <c r="K128"/>
  <c r="L128"/>
  <c r="P123" i="3"/>
  <c r="Q123"/>
  <c r="L124"/>
  <c r="M124"/>
  <c r="M128" i="4"/>
  <c r="N128"/>
  <c r="O128"/>
  <c r="Q128"/>
  <c r="R128"/>
  <c r="K129"/>
  <c r="L129"/>
  <c r="P124" i="3"/>
  <c r="Q124"/>
  <c r="L125"/>
  <c r="M125"/>
  <c r="M129" i="4"/>
  <c r="N129"/>
  <c r="O129"/>
  <c r="Q129"/>
  <c r="R129"/>
  <c r="K130"/>
  <c r="L130"/>
  <c r="P125" i="3"/>
  <c r="Q125"/>
  <c r="L126"/>
  <c r="M126"/>
  <c r="M130" i="4"/>
  <c r="N130"/>
  <c r="O130"/>
  <c r="Q130"/>
  <c r="R130"/>
  <c r="K131"/>
  <c r="L131"/>
  <c r="P126" i="3"/>
  <c r="Q126"/>
  <c r="L127"/>
  <c r="M127"/>
  <c r="M131" i="4"/>
  <c r="N131"/>
  <c r="O131"/>
  <c r="Q131"/>
  <c r="R131"/>
  <c r="K132"/>
  <c r="L132"/>
  <c r="P127" i="3"/>
  <c r="Q127"/>
  <c r="L128"/>
  <c r="M128"/>
  <c r="M132" i="4"/>
  <c r="N132"/>
  <c r="O132"/>
  <c r="Q132"/>
  <c r="R132"/>
  <c r="K133"/>
  <c r="L133"/>
  <c r="P128" i="3"/>
  <c r="Q128"/>
  <c r="L129"/>
  <c r="M129"/>
  <c r="M133" i="4"/>
  <c r="N133"/>
  <c r="O133"/>
  <c r="Q133"/>
  <c r="R133"/>
  <c r="K134"/>
  <c r="L134"/>
  <c r="P129" i="3"/>
  <c r="Q129"/>
  <c r="L130"/>
  <c r="M130"/>
  <c r="M134" i="4"/>
  <c r="N134"/>
  <c r="O134"/>
  <c r="Q134"/>
  <c r="R134"/>
  <c r="K135"/>
  <c r="L135"/>
  <c r="P130" i="3"/>
  <c r="Q130"/>
  <c r="L131"/>
  <c r="M131"/>
  <c r="M135" i="4"/>
  <c r="N135"/>
  <c r="O135"/>
  <c r="Q135"/>
  <c r="R135"/>
  <c r="K136"/>
  <c r="L136"/>
  <c r="P131" i="3"/>
  <c r="Q131"/>
  <c r="L132"/>
  <c r="M132"/>
  <c r="M136" i="4"/>
  <c r="N136"/>
  <c r="O136"/>
  <c r="Q136"/>
  <c r="R136"/>
  <c r="K137"/>
  <c r="L137"/>
  <c r="P132" i="3"/>
  <c r="Q132"/>
  <c r="L133"/>
  <c r="M133"/>
  <c r="M137" i="4"/>
  <c r="N137"/>
  <c r="O137"/>
  <c r="Q137"/>
  <c r="R137"/>
  <c r="K138"/>
  <c r="L138"/>
  <c r="P133" i="3"/>
  <c r="Q133"/>
  <c r="L134"/>
  <c r="M134"/>
  <c r="M138" i="4"/>
  <c r="N138"/>
  <c r="O138"/>
  <c r="Q138"/>
  <c r="R138"/>
  <c r="K139"/>
  <c r="L139"/>
  <c r="P134" i="3"/>
  <c r="Q134"/>
  <c r="L135"/>
  <c r="M135"/>
  <c r="M139" i="4"/>
  <c r="N139"/>
  <c r="O139"/>
  <c r="Q139"/>
  <c r="R139"/>
  <c r="K140"/>
  <c r="L140"/>
  <c r="P135" i="3"/>
  <c r="Q135"/>
  <c r="L136"/>
  <c r="M136"/>
  <c r="M140" i="4"/>
  <c r="N140"/>
  <c r="O140"/>
  <c r="Q140"/>
  <c r="R140"/>
  <c r="K141"/>
  <c r="L141"/>
  <c r="P136" i="3"/>
  <c r="Q136"/>
  <c r="L137"/>
  <c r="M137"/>
  <c r="M141" i="4"/>
  <c r="N141"/>
  <c r="O141"/>
  <c r="Q141"/>
  <c r="R141"/>
  <c r="K142"/>
  <c r="L142"/>
  <c r="P137" i="3"/>
  <c r="Q137"/>
  <c r="L138"/>
  <c r="M138"/>
  <c r="M142" i="4"/>
  <c r="N142"/>
  <c r="O142"/>
  <c r="Q142"/>
  <c r="R142"/>
  <c r="K143"/>
  <c r="L143"/>
  <c r="P138" i="3"/>
  <c r="Q138"/>
  <c r="L139"/>
  <c r="M139"/>
  <c r="M143" i="4"/>
  <c r="N143"/>
  <c r="O143"/>
  <c r="Q143"/>
  <c r="R143"/>
  <c r="K144"/>
  <c r="L144"/>
  <c r="P139" i="3"/>
  <c r="Q139"/>
  <c r="L140"/>
  <c r="M140"/>
  <c r="M144" i="4"/>
  <c r="N144"/>
  <c r="O144"/>
  <c r="Q144"/>
  <c r="R144"/>
  <c r="K145"/>
  <c r="L145"/>
  <c r="P140" i="3"/>
  <c r="Q140"/>
  <c r="L141"/>
  <c r="M141"/>
  <c r="M145" i="4"/>
  <c r="N145"/>
  <c r="O145"/>
  <c r="Q145"/>
  <c r="R145"/>
  <c r="K146"/>
  <c r="L146"/>
  <c r="P141" i="3"/>
  <c r="Q141"/>
  <c r="L142"/>
  <c r="M142"/>
  <c r="M146" i="4"/>
  <c r="N146"/>
  <c r="O146"/>
  <c r="Q146"/>
  <c r="R146"/>
  <c r="K147"/>
  <c r="L147"/>
  <c r="P142" i="3"/>
  <c r="Q142"/>
  <c r="L143"/>
  <c r="M143"/>
  <c r="M147" i="4"/>
  <c r="N147"/>
  <c r="O147"/>
  <c r="Q147"/>
  <c r="R147"/>
  <c r="K148"/>
  <c r="L148"/>
  <c r="P143" i="3"/>
  <c r="Q143"/>
  <c r="L144"/>
  <c r="M144"/>
  <c r="M148" i="4"/>
  <c r="N148"/>
  <c r="O148"/>
  <c r="Q148"/>
  <c r="R148"/>
  <c r="K149"/>
  <c r="L149"/>
  <c r="P144" i="3"/>
  <c r="Q144"/>
  <c r="L145"/>
  <c r="M145"/>
  <c r="M149" i="4"/>
  <c r="N149"/>
  <c r="O149"/>
  <c r="Q149"/>
  <c r="R149"/>
  <c r="K150"/>
  <c r="L150"/>
  <c r="P145" i="3"/>
  <c r="Q145"/>
  <c r="L146"/>
  <c r="M146"/>
  <c r="M150" i="4"/>
  <c r="N150"/>
  <c r="O150"/>
  <c r="Q150"/>
  <c r="R150"/>
  <c r="K151"/>
  <c r="L151"/>
  <c r="P146" i="3"/>
  <c r="Q146"/>
  <c r="L147"/>
  <c r="M147"/>
  <c r="M151" i="4"/>
  <c r="N151"/>
  <c r="O151"/>
  <c r="Q151"/>
  <c r="R151"/>
  <c r="K152"/>
  <c r="L152"/>
  <c r="P147" i="3"/>
  <c r="Q147"/>
  <c r="L148"/>
  <c r="M148"/>
  <c r="M152" i="4"/>
  <c r="N152"/>
  <c r="O152"/>
  <c r="Q152"/>
  <c r="R152"/>
  <c r="K153"/>
  <c r="L153"/>
  <c r="P148" i="3"/>
  <c r="Q148"/>
  <c r="L149"/>
  <c r="M149"/>
  <c r="M153" i="4"/>
  <c r="N153"/>
  <c r="O153"/>
  <c r="Q153"/>
  <c r="R153"/>
  <c r="K154"/>
  <c r="L154"/>
  <c r="P149" i="3"/>
  <c r="Q149"/>
  <c r="L150"/>
  <c r="M150"/>
  <c r="M154" i="4"/>
  <c r="N154"/>
  <c r="O154"/>
  <c r="Q154"/>
  <c r="R154"/>
  <c r="K155"/>
  <c r="L155"/>
  <c r="P150" i="3"/>
  <c r="Q150"/>
  <c r="L151"/>
  <c r="M151"/>
  <c r="M155" i="4"/>
  <c r="N155"/>
  <c r="O155"/>
  <c r="Q155"/>
  <c r="R155"/>
  <c r="K156"/>
  <c r="L156"/>
  <c r="P151" i="3"/>
  <c r="Q151"/>
  <c r="L152"/>
  <c r="M152"/>
  <c r="M156" i="4"/>
  <c r="N156"/>
  <c r="O156"/>
  <c r="Q156"/>
  <c r="R156"/>
  <c r="K157"/>
  <c r="L157"/>
  <c r="P152" i="3"/>
  <c r="Q152"/>
  <c r="L153"/>
  <c r="M153"/>
  <c r="M157" i="4"/>
  <c r="N157"/>
  <c r="O157"/>
  <c r="Q157"/>
  <c r="R157"/>
  <c r="K158"/>
  <c r="L158"/>
  <c r="P153" i="3"/>
  <c r="Q153"/>
  <c r="L154"/>
  <c r="M154"/>
  <c r="M158" i="4"/>
  <c r="N158"/>
  <c r="O158"/>
  <c r="Q158"/>
  <c r="R158"/>
  <c r="K159"/>
  <c r="L159"/>
  <c r="P154" i="3"/>
  <c r="Q154"/>
  <c r="L155"/>
  <c r="M155"/>
  <c r="M159" i="4"/>
  <c r="N159"/>
  <c r="O159"/>
  <c r="Q159"/>
  <c r="R159"/>
  <c r="K160"/>
  <c r="L160"/>
  <c r="P155" i="3"/>
  <c r="Q155"/>
  <c r="L156"/>
  <c r="M156"/>
  <c r="M160" i="4"/>
  <c r="N160"/>
  <c r="O160"/>
  <c r="Q160"/>
  <c r="R160"/>
  <c r="K161"/>
  <c r="L161"/>
  <c r="P156" i="3"/>
  <c r="Q156"/>
  <c r="L157"/>
  <c r="M157"/>
  <c r="M161" i="4"/>
  <c r="N161"/>
  <c r="O161"/>
  <c r="Q161"/>
  <c r="R161"/>
  <c r="K162"/>
  <c r="L162"/>
  <c r="P157" i="3"/>
  <c r="Q157"/>
  <c r="L158"/>
  <c r="M158"/>
  <c r="M162" i="4"/>
  <c r="N162"/>
  <c r="O162"/>
  <c r="Q162"/>
  <c r="R162"/>
  <c r="K163"/>
  <c r="L163"/>
  <c r="P158" i="3"/>
  <c r="Q158"/>
  <c r="L159"/>
  <c r="M159"/>
  <c r="M163" i="4"/>
  <c r="N163"/>
  <c r="O163"/>
  <c r="Q163"/>
  <c r="R163"/>
  <c r="K164"/>
  <c r="L164"/>
  <c r="P159" i="3"/>
  <c r="Q159"/>
  <c r="L160"/>
  <c r="M160"/>
  <c r="M164" i="4"/>
  <c r="N164"/>
  <c r="O164"/>
  <c r="Q164"/>
  <c r="R164"/>
  <c r="K165"/>
  <c r="L165"/>
  <c r="P160" i="3"/>
  <c r="Q160"/>
  <c r="L161"/>
  <c r="M161"/>
  <c r="M165" i="4"/>
  <c r="N165"/>
  <c r="O165"/>
  <c r="Q165"/>
  <c r="R165"/>
  <c r="K166"/>
  <c r="L166"/>
  <c r="P161" i="3"/>
  <c r="Q161"/>
  <c r="L162"/>
  <c r="M162"/>
  <c r="M166" i="4"/>
  <c r="N166"/>
  <c r="O166"/>
  <c r="Q166"/>
  <c r="R166"/>
  <c r="K167"/>
  <c r="L167"/>
  <c r="P162" i="3"/>
  <c r="Q162"/>
  <c r="L163"/>
  <c r="M163"/>
  <c r="M167" i="4"/>
  <c r="N167"/>
  <c r="O167"/>
  <c r="Q167"/>
  <c r="R167"/>
  <c r="K168"/>
  <c r="L168"/>
  <c r="P163" i="3"/>
  <c r="Q163"/>
  <c r="L164"/>
  <c r="M164"/>
  <c r="M168" i="4"/>
  <c r="N168"/>
  <c r="O168"/>
  <c r="Q168"/>
  <c r="R168"/>
  <c r="K169"/>
  <c r="L169"/>
  <c r="P164" i="3"/>
  <c r="Q164"/>
  <c r="L165"/>
  <c r="M165"/>
  <c r="M169" i="4"/>
  <c r="N169"/>
  <c r="O169"/>
  <c r="Q169"/>
  <c r="R169"/>
  <c r="K170"/>
  <c r="L170"/>
  <c r="P165" i="3"/>
  <c r="Q165"/>
  <c r="L166"/>
  <c r="M166"/>
  <c r="M170" i="4"/>
  <c r="N170"/>
  <c r="O170"/>
  <c r="Q170"/>
  <c r="R170"/>
  <c r="K171"/>
  <c r="L171"/>
  <c r="P166" i="3"/>
  <c r="Q166"/>
  <c r="L167"/>
  <c r="M167"/>
  <c r="M171" i="4"/>
  <c r="N171"/>
  <c r="O171"/>
  <c r="Q171"/>
  <c r="R171"/>
  <c r="K172"/>
  <c r="L172"/>
  <c r="P167" i="3"/>
  <c r="Q167"/>
  <c r="L168"/>
  <c r="M168"/>
  <c r="M172" i="4"/>
  <c r="N172"/>
  <c r="O172"/>
  <c r="Q172"/>
  <c r="R172"/>
  <c r="K173"/>
  <c r="L173"/>
  <c r="P168" i="3"/>
  <c r="Q168"/>
  <c r="L169"/>
  <c r="M169"/>
  <c r="M173" i="4"/>
  <c r="N173"/>
  <c r="O173"/>
  <c r="Q173"/>
  <c r="R173"/>
  <c r="K174"/>
  <c r="L174"/>
  <c r="P169" i="3"/>
  <c r="Q169"/>
  <c r="L170"/>
  <c r="M170"/>
  <c r="M174" i="4"/>
  <c r="N174"/>
  <c r="O174"/>
  <c r="Q174"/>
  <c r="R174"/>
  <c r="K175"/>
  <c r="L175"/>
  <c r="P170" i="3"/>
  <c r="Q170"/>
  <c r="L171"/>
  <c r="M171"/>
  <c r="M175" i="4"/>
  <c r="N175"/>
  <c r="O175"/>
  <c r="Q175"/>
  <c r="R175"/>
  <c r="K176"/>
  <c r="L176"/>
  <c r="P171" i="3"/>
  <c r="Q171"/>
  <c r="L172"/>
  <c r="M172"/>
  <c r="M176" i="4"/>
  <c r="N176"/>
  <c r="O176"/>
  <c r="Q176"/>
  <c r="R176"/>
  <c r="K177"/>
  <c r="L177"/>
  <c r="P172" i="3"/>
  <c r="Q172"/>
  <c r="L173"/>
  <c r="M173"/>
  <c r="M177" i="4"/>
  <c r="N177"/>
  <c r="O177"/>
  <c r="Q177"/>
  <c r="R177"/>
  <c r="K178"/>
  <c r="L178"/>
  <c r="P173" i="3"/>
  <c r="Q173"/>
  <c r="L174"/>
  <c r="M174"/>
  <c r="M178" i="4"/>
  <c r="N178"/>
  <c r="O178"/>
  <c r="Q178"/>
  <c r="R178"/>
  <c r="K179"/>
  <c r="L179"/>
  <c r="P174" i="3"/>
  <c r="Q174"/>
  <c r="L175"/>
  <c r="M175"/>
  <c r="M179" i="4"/>
  <c r="N179"/>
  <c r="O179"/>
  <c r="Q179"/>
  <c r="R179"/>
  <c r="K180"/>
  <c r="L180"/>
  <c r="P175" i="3"/>
  <c r="Q175"/>
  <c r="L176"/>
  <c r="M176"/>
  <c r="M180" i="4"/>
  <c r="N180"/>
  <c r="O180"/>
  <c r="Q180"/>
  <c r="R180"/>
  <c r="K181"/>
  <c r="L181"/>
  <c r="P176" i="3"/>
  <c r="Q176"/>
  <c r="L177"/>
  <c r="M177"/>
  <c r="M181" i="4"/>
  <c r="N181"/>
  <c r="O181"/>
  <c r="Q181"/>
  <c r="R181"/>
  <c r="K182"/>
  <c r="L182"/>
  <c r="P177" i="3"/>
  <c r="Q177"/>
  <c r="L178"/>
  <c r="M178"/>
  <c r="M182" i="4"/>
  <c r="N182"/>
  <c r="O182"/>
  <c r="Q182"/>
  <c r="R182"/>
  <c r="K183"/>
  <c r="L183"/>
  <c r="P178" i="3"/>
  <c r="Q178"/>
  <c r="L179"/>
  <c r="M179"/>
  <c r="M183" i="4"/>
  <c r="N183"/>
  <c r="O183"/>
  <c r="Q183"/>
  <c r="R183"/>
  <c r="K184"/>
  <c r="L184"/>
  <c r="P179" i="3"/>
  <c r="Q179"/>
  <c r="L180"/>
  <c r="M180"/>
  <c r="M184" i="4"/>
  <c r="N184"/>
  <c r="O184"/>
  <c r="Q184"/>
  <c r="R184"/>
  <c r="K185"/>
  <c r="L185"/>
  <c r="P180" i="3"/>
  <c r="Q180"/>
  <c r="L181"/>
  <c r="M181"/>
  <c r="M185" i="4"/>
  <c r="N185"/>
  <c r="O185"/>
  <c r="Q185"/>
  <c r="R185"/>
  <c r="K186"/>
  <c r="L186"/>
  <c r="P181" i="3"/>
  <c r="Q181"/>
  <c r="L182"/>
  <c r="M182"/>
  <c r="M186" i="4"/>
  <c r="N186"/>
  <c r="O186"/>
  <c r="Q186"/>
  <c r="R186"/>
  <c r="K187"/>
  <c r="L187"/>
  <c r="P182" i="3"/>
  <c r="Q182"/>
  <c r="L183"/>
  <c r="M183"/>
  <c r="M187" i="4"/>
  <c r="N187"/>
  <c r="O187"/>
  <c r="Q187"/>
  <c r="R187"/>
  <c r="K188"/>
  <c r="L188"/>
  <c r="P183" i="3"/>
  <c r="Q183"/>
  <c r="L184"/>
  <c r="M184"/>
  <c r="M188" i="4"/>
  <c r="N188"/>
  <c r="O188"/>
  <c r="Q188"/>
  <c r="R188"/>
  <c r="K189"/>
  <c r="L189"/>
  <c r="P184" i="3"/>
  <c r="Q184"/>
  <c r="L185"/>
  <c r="M185"/>
  <c r="M189" i="4"/>
  <c r="N189"/>
  <c r="O189"/>
  <c r="Q189"/>
  <c r="R189"/>
  <c r="K190"/>
  <c r="L190"/>
  <c r="P185" i="3"/>
  <c r="Q185"/>
  <c r="L186"/>
  <c r="M186"/>
  <c r="M190" i="4"/>
  <c r="N190"/>
  <c r="O190"/>
  <c r="Q190"/>
  <c r="R190"/>
  <c r="K191"/>
  <c r="L191"/>
  <c r="P186" i="3"/>
  <c r="Q186"/>
  <c r="L187"/>
  <c r="M187"/>
  <c r="M191" i="4"/>
  <c r="N191"/>
  <c r="O191"/>
  <c r="Q191"/>
  <c r="R191"/>
  <c r="K192"/>
  <c r="L192"/>
  <c r="P187" i="3"/>
  <c r="Q187"/>
  <c r="L188"/>
  <c r="M188"/>
  <c r="M192" i="4"/>
  <c r="N192"/>
  <c r="O192"/>
  <c r="Q192"/>
  <c r="R192"/>
  <c r="K193"/>
  <c r="L193"/>
  <c r="P188" i="3"/>
  <c r="Q188"/>
  <c r="L189"/>
  <c r="M189"/>
  <c r="M193" i="4"/>
  <c r="N193"/>
  <c r="O193"/>
  <c r="Q193"/>
  <c r="R193"/>
  <c r="K194"/>
  <c r="L194"/>
  <c r="P189" i="3"/>
  <c r="Q189"/>
  <c r="L190"/>
  <c r="M190"/>
  <c r="M194" i="4"/>
  <c r="N194"/>
  <c r="O194"/>
  <c r="Q194"/>
  <c r="R194"/>
  <c r="K195"/>
  <c r="L195"/>
  <c r="P190" i="3"/>
  <c r="Q190"/>
  <c r="L191"/>
  <c r="M191"/>
  <c r="M195" i="4"/>
  <c r="N195"/>
  <c r="O195"/>
  <c r="Q195"/>
  <c r="R195"/>
  <c r="K196"/>
  <c r="L196"/>
  <c r="P191" i="3"/>
  <c r="Q191"/>
  <c r="L192"/>
  <c r="M192"/>
  <c r="M196" i="4"/>
  <c r="N196"/>
  <c r="O196"/>
  <c r="Q196"/>
  <c r="R196"/>
  <c r="K197"/>
  <c r="L197"/>
  <c r="P192" i="3"/>
  <c r="Q192"/>
  <c r="L193"/>
  <c r="M193"/>
  <c r="M197" i="4"/>
  <c r="N197"/>
  <c r="O197"/>
  <c r="Q197"/>
  <c r="R197"/>
  <c r="K198"/>
  <c r="L198"/>
  <c r="P193" i="3"/>
  <c r="Q193"/>
  <c r="L194"/>
  <c r="M194"/>
  <c r="M198" i="4"/>
  <c r="N198"/>
  <c r="O198"/>
  <c r="Q198"/>
  <c r="R198"/>
  <c r="K199"/>
  <c r="L199"/>
  <c r="P194" i="3"/>
  <c r="Q194"/>
  <c r="L195"/>
  <c r="M195"/>
  <c r="M199" i="4"/>
  <c r="N199"/>
  <c r="O199"/>
  <c r="Q199"/>
  <c r="R199"/>
  <c r="K200"/>
  <c r="L200"/>
  <c r="P195" i="3"/>
  <c r="Q195"/>
  <c r="L196"/>
  <c r="M196"/>
  <c r="M200" i="4"/>
  <c r="N200"/>
  <c r="O200"/>
  <c r="Q200"/>
  <c r="R200"/>
  <c r="K201"/>
  <c r="L201"/>
  <c r="P196" i="3"/>
  <c r="Q196"/>
  <c r="L197"/>
  <c r="M197"/>
  <c r="M201" i="4"/>
  <c r="N201"/>
  <c r="O201"/>
  <c r="Q201"/>
  <c r="R201"/>
  <c r="K202"/>
  <c r="L202"/>
  <c r="P197" i="3"/>
  <c r="Q197"/>
  <c r="L198"/>
  <c r="M198"/>
  <c r="M202" i="4"/>
  <c r="N202"/>
  <c r="O202"/>
  <c r="Q202"/>
  <c r="R202"/>
  <c r="K203"/>
  <c r="L203"/>
  <c r="P198" i="3"/>
  <c r="Q198"/>
  <c r="L199"/>
  <c r="M199"/>
  <c r="M203" i="4"/>
  <c r="N203"/>
  <c r="O203"/>
  <c r="Q203"/>
  <c r="R203"/>
  <c r="K204"/>
  <c r="L204"/>
  <c r="P199" i="3"/>
  <c r="Q199"/>
  <c r="L200"/>
  <c r="M200"/>
  <c r="M204" i="4"/>
  <c r="N204"/>
  <c r="O204"/>
  <c r="Q204"/>
  <c r="R204"/>
  <c r="K205"/>
  <c r="L205"/>
  <c r="P200" i="3"/>
  <c r="Q200"/>
  <c r="L201"/>
  <c r="M201"/>
  <c r="M205" i="4"/>
  <c r="N205"/>
  <c r="O205"/>
  <c r="Q205"/>
  <c r="R205"/>
  <c r="K206"/>
  <c r="L206"/>
  <c r="P201" i="3"/>
  <c r="Q201"/>
  <c r="L202"/>
  <c r="M202"/>
  <c r="M206" i="4"/>
  <c r="N206"/>
  <c r="O206"/>
  <c r="Q206"/>
  <c r="R206"/>
  <c r="K207"/>
  <c r="L207"/>
  <c r="P202" i="3"/>
  <c r="Q202"/>
  <c r="L203"/>
  <c r="M203"/>
  <c r="M207" i="4"/>
  <c r="N207"/>
  <c r="O207"/>
  <c r="Q207"/>
  <c r="R207"/>
  <c r="K208"/>
  <c r="L208"/>
  <c r="P203" i="3"/>
  <c r="Q203"/>
  <c r="L204"/>
  <c r="M204"/>
  <c r="M208" i="4"/>
  <c r="N208"/>
  <c r="O208"/>
  <c r="Q208"/>
  <c r="R208"/>
  <c r="K209"/>
  <c r="L209"/>
  <c r="P204" i="3"/>
  <c r="Q204"/>
  <c r="L205"/>
  <c r="M205"/>
  <c r="M209" i="4"/>
  <c r="N209"/>
  <c r="O209"/>
  <c r="Q209"/>
  <c r="R209"/>
  <c r="K210"/>
  <c r="L210"/>
  <c r="P205" i="3"/>
  <c r="Q205"/>
  <c r="L206"/>
  <c r="M206"/>
  <c r="M210" i="4"/>
  <c r="N210"/>
  <c r="O210"/>
  <c r="Q210"/>
  <c r="R210"/>
  <c r="K211"/>
  <c r="L211"/>
  <c r="P206" i="3"/>
  <c r="Q206"/>
  <c r="L207"/>
  <c r="M207"/>
  <c r="M211" i="4"/>
  <c r="N211"/>
  <c r="O211"/>
  <c r="Q211"/>
  <c r="R211"/>
  <c r="K212"/>
  <c r="L212"/>
  <c r="P207" i="3"/>
  <c r="Q207"/>
  <c r="L208"/>
  <c r="M208"/>
  <c r="M212" i="4"/>
  <c r="N212"/>
  <c r="O212"/>
  <c r="Q212"/>
  <c r="R212"/>
  <c r="K213"/>
  <c r="L213"/>
  <c r="P208" i="3"/>
  <c r="Q208"/>
  <c r="L209"/>
  <c r="M209"/>
  <c r="M213" i="4"/>
  <c r="N213"/>
  <c r="O213"/>
  <c r="Q213"/>
  <c r="R213"/>
  <c r="K214"/>
  <c r="L214"/>
  <c r="P209" i="3"/>
  <c r="Q209"/>
  <c r="L210"/>
  <c r="M210"/>
  <c r="M214" i="4"/>
  <c r="N214"/>
  <c r="O214"/>
  <c r="Q214"/>
  <c r="R214"/>
  <c r="K215"/>
  <c r="L215"/>
  <c r="P210" i="3"/>
  <c r="Q210"/>
  <c r="L211"/>
  <c r="M211"/>
  <c r="M215" i="4"/>
  <c r="N215"/>
  <c r="O215"/>
  <c r="Q215"/>
  <c r="R215"/>
  <c r="K216"/>
  <c r="L216"/>
  <c r="P211" i="3"/>
  <c r="Q211"/>
  <c r="L212"/>
  <c r="M212"/>
  <c r="M216" i="4"/>
  <c r="N216"/>
  <c r="O216"/>
  <c r="Q216"/>
  <c r="R216"/>
  <c r="K217"/>
  <c r="L217"/>
  <c r="P212" i="3"/>
  <c r="Q212"/>
  <c r="L213"/>
  <c r="M213"/>
  <c r="M217" i="4"/>
  <c r="N217"/>
  <c r="O217"/>
  <c r="Q217"/>
  <c r="R217"/>
  <c r="K218"/>
  <c r="L218"/>
  <c r="P213" i="3"/>
  <c r="Q213"/>
  <c r="L214"/>
  <c r="M214"/>
  <c r="M218" i="4"/>
  <c r="N218"/>
  <c r="O218"/>
  <c r="Q218"/>
  <c r="R218"/>
  <c r="K219"/>
  <c r="L219"/>
  <c r="P214" i="3"/>
  <c r="Q214"/>
  <c r="L215"/>
  <c r="M215"/>
  <c r="M219" i="4"/>
  <c r="N219"/>
  <c r="O219"/>
  <c r="Q219"/>
  <c r="R219"/>
  <c r="K220"/>
  <c r="L220"/>
  <c r="P215" i="3"/>
  <c r="Q215"/>
  <c r="L216"/>
  <c r="M216"/>
  <c r="M220" i="4"/>
  <c r="N220"/>
  <c r="O220"/>
  <c r="Q220"/>
  <c r="R220"/>
  <c r="K221"/>
  <c r="L221"/>
  <c r="P216" i="3"/>
  <c r="Q216"/>
  <c r="L217"/>
  <c r="M217"/>
  <c r="M221" i="4"/>
  <c r="N221"/>
  <c r="O221"/>
  <c r="Q221"/>
  <c r="R221"/>
  <c r="K222"/>
  <c r="L222"/>
  <c r="P217" i="3"/>
  <c r="Q217"/>
  <c r="L218"/>
  <c r="M218"/>
  <c r="M222" i="4"/>
  <c r="N222"/>
  <c r="O222"/>
  <c r="Q222"/>
  <c r="R222"/>
  <c r="K223"/>
  <c r="L223"/>
  <c r="P218" i="3"/>
  <c r="Q218"/>
  <c r="L219"/>
  <c r="M219"/>
  <c r="M223" i="4"/>
  <c r="N223"/>
  <c r="O223"/>
  <c r="Q223"/>
  <c r="R223"/>
  <c r="K224"/>
  <c r="L224"/>
  <c r="P219" i="3"/>
  <c r="Q219"/>
  <c r="L220"/>
  <c r="M220"/>
  <c r="M224" i="4"/>
  <c r="N224"/>
  <c r="O224"/>
  <c r="Q224"/>
  <c r="R224"/>
  <c r="K225"/>
  <c r="L225"/>
  <c r="P220" i="3"/>
  <c r="Q220"/>
  <c r="L221"/>
  <c r="M221"/>
  <c r="M225" i="4"/>
  <c r="N225"/>
  <c r="O225"/>
  <c r="Q225"/>
  <c r="R225"/>
  <c r="K226"/>
  <c r="L226"/>
  <c r="P221" i="3"/>
  <c r="Q221"/>
  <c r="L222"/>
  <c r="M222"/>
  <c r="M226" i="4"/>
  <c r="N226"/>
  <c r="O226"/>
  <c r="Q226"/>
  <c r="R226"/>
  <c r="K227"/>
  <c r="L227"/>
  <c r="P222" i="3"/>
  <c r="Q222"/>
  <c r="L223"/>
  <c r="M223"/>
  <c r="M227" i="4"/>
  <c r="N227"/>
  <c r="O227"/>
  <c r="Q227"/>
  <c r="R227"/>
  <c r="K228"/>
  <c r="L228"/>
  <c r="P223" i="3"/>
  <c r="Q223"/>
  <c r="L224"/>
  <c r="M224"/>
  <c r="M228" i="4"/>
  <c r="N228"/>
  <c r="O228"/>
  <c r="Q228"/>
  <c r="R228"/>
  <c r="K229"/>
  <c r="L229"/>
  <c r="P224" i="3"/>
  <c r="Q224"/>
  <c r="L225"/>
  <c r="M225"/>
  <c r="M229" i="4"/>
  <c r="N229"/>
  <c r="O229"/>
  <c r="Q229"/>
  <c r="R229"/>
  <c r="K230"/>
  <c r="L230"/>
  <c r="P225" i="3"/>
  <c r="Q225"/>
  <c r="L226"/>
  <c r="M226"/>
  <c r="M230" i="4"/>
  <c r="N230"/>
  <c r="O230"/>
  <c r="Q230"/>
  <c r="R230"/>
  <c r="K231"/>
  <c r="L231"/>
  <c r="P226" i="3"/>
  <c r="Q226"/>
  <c r="L227"/>
  <c r="M227"/>
  <c r="M231" i="4"/>
  <c r="N231"/>
  <c r="O231"/>
  <c r="Q231"/>
  <c r="R231"/>
  <c r="K232"/>
  <c r="L232"/>
  <c r="P227" i="3"/>
  <c r="Q227"/>
  <c r="L228"/>
  <c r="M228"/>
  <c r="M232" i="4"/>
  <c r="N232"/>
  <c r="O232"/>
  <c r="Q232"/>
  <c r="R232"/>
  <c r="K233"/>
  <c r="L233"/>
  <c r="P228" i="3"/>
  <c r="Q228"/>
  <c r="L229"/>
  <c r="M229"/>
  <c r="M233" i="4"/>
  <c r="N233"/>
  <c r="O233"/>
  <c r="Q233"/>
  <c r="R233"/>
  <c r="K234"/>
  <c r="L234"/>
  <c r="P229" i="3"/>
  <c r="Q229"/>
  <c r="L230"/>
  <c r="M230"/>
  <c r="M234" i="4"/>
  <c r="N234"/>
  <c r="O234"/>
  <c r="Q234"/>
  <c r="R234"/>
  <c r="K235"/>
  <c r="L235"/>
  <c r="P230" i="3"/>
  <c r="Q230"/>
  <c r="L231"/>
  <c r="M231"/>
  <c r="M235" i="4"/>
  <c r="N235"/>
  <c r="O235"/>
  <c r="Q235"/>
  <c r="R235"/>
  <c r="K236"/>
  <c r="L236"/>
  <c r="P231" i="3"/>
  <c r="Q231"/>
  <c r="L232"/>
  <c r="M232"/>
  <c r="M236" i="4"/>
  <c r="N236"/>
  <c r="O236"/>
  <c r="Q236"/>
  <c r="R236"/>
  <c r="K237"/>
  <c r="L237"/>
  <c r="P232" i="3"/>
  <c r="Q232"/>
  <c r="L233"/>
  <c r="M233"/>
  <c r="M237" i="4"/>
  <c r="N237"/>
  <c r="O237"/>
  <c r="Q237"/>
  <c r="R237"/>
  <c r="K238"/>
  <c r="L238"/>
  <c r="P233" i="3"/>
  <c r="Q233"/>
  <c r="L234"/>
  <c r="M234"/>
  <c r="M238" i="4"/>
  <c r="N238"/>
  <c r="O238"/>
  <c r="Q238"/>
  <c r="R238"/>
  <c r="K239"/>
  <c r="L239"/>
  <c r="P234" i="3"/>
  <c r="Q234"/>
  <c r="L235"/>
  <c r="M235"/>
  <c r="M239" i="4"/>
  <c r="N239"/>
  <c r="O239"/>
  <c r="Q239"/>
  <c r="R239"/>
  <c r="K240"/>
  <c r="L240"/>
  <c r="P235" i="3"/>
  <c r="Q235"/>
  <c r="L236"/>
  <c r="M236"/>
  <c r="M240" i="4"/>
  <c r="N240"/>
  <c r="O240"/>
  <c r="Q240"/>
  <c r="R240"/>
  <c r="K241"/>
  <c r="L241"/>
  <c r="P236" i="3"/>
  <c r="Q236"/>
  <c r="L237"/>
  <c r="M237"/>
  <c r="M241" i="4"/>
  <c r="N241"/>
  <c r="O241"/>
  <c r="Q241"/>
  <c r="R241"/>
  <c r="K242"/>
  <c r="L242"/>
  <c r="P237" i="3"/>
  <c r="Q237"/>
  <c r="L238"/>
  <c r="M238"/>
  <c r="M242" i="4"/>
  <c r="N242"/>
  <c r="O242"/>
  <c r="Q242"/>
  <c r="R242"/>
  <c r="K243"/>
  <c r="L243"/>
  <c r="P238" i="3"/>
  <c r="Q238"/>
  <c r="L239"/>
  <c r="M239"/>
  <c r="M243" i="4"/>
  <c r="N243"/>
  <c r="O243"/>
  <c r="Q243"/>
  <c r="R243"/>
  <c r="K244"/>
  <c r="L244"/>
  <c r="P239" i="3"/>
  <c r="Q239"/>
  <c r="L240"/>
  <c r="M240"/>
  <c r="M244" i="4"/>
  <c r="N244"/>
  <c r="O244"/>
  <c r="Q244"/>
  <c r="R244"/>
  <c r="K245"/>
  <c r="L245"/>
  <c r="P240" i="3"/>
  <c r="Q240"/>
  <c r="L241"/>
  <c r="M241"/>
  <c r="M245" i="4"/>
  <c r="N245"/>
  <c r="O245"/>
  <c r="Q245"/>
  <c r="R245"/>
  <c r="K246"/>
  <c r="L246"/>
  <c r="P241" i="3"/>
  <c r="Q241"/>
  <c r="L242"/>
  <c r="M242"/>
  <c r="M246" i="4"/>
  <c r="N246"/>
  <c r="O246"/>
  <c r="Q246"/>
  <c r="R246"/>
  <c r="K247"/>
  <c r="L247"/>
  <c r="P242" i="3"/>
  <c r="Q242"/>
  <c r="L243"/>
  <c r="M243"/>
  <c r="M247" i="4"/>
  <c r="N247"/>
  <c r="O247"/>
  <c r="Q247"/>
  <c r="R247"/>
  <c r="K248"/>
  <c r="L248"/>
  <c r="P243" i="3"/>
  <c r="Q243"/>
  <c r="L244"/>
  <c r="M244"/>
  <c r="M248" i="4"/>
  <c r="N248"/>
  <c r="O248"/>
  <c r="Q248"/>
  <c r="R248"/>
  <c r="K249"/>
  <c r="L249"/>
  <c r="P244" i="3"/>
  <c r="Q244"/>
  <c r="L245"/>
  <c r="M245"/>
  <c r="M249" i="4"/>
  <c r="N249"/>
  <c r="O249"/>
  <c r="Q249"/>
  <c r="R249"/>
  <c r="K250"/>
  <c r="L250"/>
  <c r="P245" i="3"/>
  <c r="Q245"/>
  <c r="L246"/>
  <c r="M246"/>
  <c r="M250" i="4"/>
  <c r="N250"/>
  <c r="O250"/>
  <c r="Q250"/>
  <c r="R250"/>
  <c r="K251"/>
  <c r="L251"/>
  <c r="P246" i="3"/>
  <c r="Q246"/>
  <c r="L247"/>
  <c r="M247"/>
  <c r="M251" i="4"/>
  <c r="N251"/>
  <c r="O251"/>
  <c r="Q251"/>
  <c r="R251"/>
  <c r="K252"/>
  <c r="L252"/>
  <c r="P247" i="3"/>
  <c r="Q247"/>
  <c r="L248"/>
  <c r="M248"/>
  <c r="M252" i="4"/>
  <c r="N252"/>
  <c r="O252"/>
  <c r="Q252"/>
  <c r="R252"/>
  <c r="K253"/>
  <c r="L253"/>
  <c r="P248" i="3"/>
  <c r="Q248"/>
  <c r="L249"/>
  <c r="M249"/>
  <c r="M253" i="4"/>
  <c r="N253"/>
  <c r="O253"/>
  <c r="Q253"/>
  <c r="R253"/>
  <c r="K254"/>
  <c r="L254"/>
  <c r="P249" i="3"/>
  <c r="Q249"/>
  <c r="L250"/>
  <c r="M250"/>
  <c r="M254" i="4"/>
  <c r="N254"/>
  <c r="O254"/>
  <c r="Q254"/>
  <c r="R254"/>
  <c r="K255"/>
  <c r="L255"/>
  <c r="P250" i="3"/>
  <c r="Q250"/>
  <c r="L251"/>
  <c r="M251"/>
  <c r="M255" i="4"/>
  <c r="N255"/>
  <c r="O255"/>
  <c r="Q255"/>
  <c r="R255"/>
  <c r="K256"/>
  <c r="L256"/>
  <c r="P251" i="3"/>
  <c r="Q251"/>
  <c r="L252"/>
  <c r="M252"/>
  <c r="M256" i="4"/>
  <c r="N256"/>
  <c r="O256"/>
  <c r="Q256"/>
  <c r="R256"/>
  <c r="K257"/>
  <c r="L257"/>
  <c r="P252" i="3"/>
  <c r="Q252"/>
  <c r="L253"/>
  <c r="M253"/>
  <c r="M257" i="4"/>
  <c r="N257"/>
  <c r="O257"/>
  <c r="Q257"/>
  <c r="R257"/>
  <c r="K258"/>
  <c r="L258"/>
  <c r="P253" i="3"/>
  <c r="Q253"/>
  <c r="L254"/>
  <c r="M254"/>
  <c r="M258" i="4"/>
  <c r="N258"/>
  <c r="O258"/>
  <c r="Q258"/>
  <c r="R258"/>
  <c r="K259"/>
  <c r="L259"/>
  <c r="P254" i="3"/>
  <c r="Q254"/>
  <c r="L255"/>
  <c r="M255"/>
  <c r="M259" i="4"/>
  <c r="N259"/>
  <c r="O259"/>
  <c r="Q259"/>
  <c r="R259"/>
  <c r="K260"/>
  <c r="L260"/>
  <c r="P255" i="3"/>
  <c r="Q255"/>
  <c r="L256"/>
  <c r="M256"/>
  <c r="M260" i="4"/>
  <c r="N260"/>
  <c r="O260"/>
  <c r="Q260"/>
  <c r="R260"/>
  <c r="K261"/>
  <c r="L261"/>
  <c r="P256" i="3"/>
  <c r="Q256"/>
  <c r="L257"/>
  <c r="M257"/>
  <c r="M261" i="4"/>
  <c r="N261"/>
  <c r="O261"/>
  <c r="Q261"/>
  <c r="R261"/>
  <c r="K262"/>
  <c r="L262"/>
  <c r="P257" i="3"/>
  <c r="Q257"/>
  <c r="L258"/>
  <c r="M258"/>
  <c r="M262" i="4"/>
  <c r="N262"/>
  <c r="O262"/>
  <c r="Q262"/>
  <c r="R262"/>
  <c r="K263"/>
  <c r="L263"/>
  <c r="P258" i="3"/>
  <c r="Q258"/>
  <c r="L259"/>
  <c r="M259"/>
  <c r="M263" i="4"/>
  <c r="N263"/>
  <c r="O263"/>
  <c r="Q263"/>
  <c r="R263"/>
  <c r="K264"/>
  <c r="L264"/>
  <c r="P259" i="3"/>
  <c r="Q259"/>
  <c r="L260"/>
  <c r="M260"/>
  <c r="M264" i="4"/>
  <c r="N264"/>
  <c r="O264"/>
  <c r="Q264"/>
  <c r="R264"/>
  <c r="K265"/>
  <c r="L265"/>
  <c r="P260" i="3"/>
  <c r="Q260"/>
  <c r="L261"/>
  <c r="M261"/>
  <c r="M265" i="4"/>
  <c r="N265"/>
  <c r="O265"/>
  <c r="Q265"/>
  <c r="R265"/>
  <c r="K266"/>
  <c r="L266"/>
  <c r="P261" i="3"/>
  <c r="Q261"/>
  <c r="L262"/>
  <c r="M262"/>
  <c r="M266" i="4"/>
  <c r="N266"/>
  <c r="O266"/>
  <c r="Q266"/>
  <c r="R266"/>
  <c r="K267"/>
  <c r="L267"/>
  <c r="P262" i="3"/>
  <c r="Q262"/>
  <c r="L263"/>
  <c r="M263"/>
  <c r="M267" i="4"/>
  <c r="N267"/>
  <c r="O267"/>
  <c r="Q267"/>
  <c r="R267"/>
  <c r="K268"/>
  <c r="L268"/>
  <c r="P263" i="3"/>
  <c r="Q263"/>
  <c r="L264"/>
  <c r="M264"/>
  <c r="M268" i="4"/>
  <c r="N268"/>
  <c r="O268"/>
  <c r="Q268"/>
  <c r="R268"/>
  <c r="K269"/>
  <c r="L269"/>
  <c r="P264" i="3"/>
  <c r="Q264"/>
  <c r="L265"/>
  <c r="M265"/>
  <c r="M269" i="4"/>
  <c r="N269"/>
  <c r="O269"/>
  <c r="Q269"/>
  <c r="R269"/>
  <c r="K270"/>
  <c r="L270"/>
  <c r="P265" i="3"/>
  <c r="Q265"/>
  <c r="L266"/>
  <c r="M266"/>
  <c r="M270" i="4"/>
  <c r="N270"/>
  <c r="O270"/>
  <c r="Q270"/>
  <c r="R270"/>
  <c r="K271"/>
  <c r="L271"/>
  <c r="P266" i="3"/>
  <c r="Q266"/>
  <c r="L267"/>
  <c r="M267"/>
  <c r="M271" i="4"/>
  <c r="N271"/>
  <c r="O271"/>
  <c r="Q271"/>
  <c r="R271"/>
  <c r="K272"/>
  <c r="L272"/>
  <c r="P267" i="3"/>
  <c r="Q267"/>
  <c r="L268"/>
  <c r="M268"/>
  <c r="M272" i="4"/>
  <c r="N272"/>
  <c r="O272"/>
  <c r="Q272"/>
  <c r="R272"/>
  <c r="K273"/>
  <c r="L273"/>
  <c r="P268" i="3"/>
  <c r="Q268"/>
  <c r="L269"/>
  <c r="M269"/>
  <c r="M273" i="4"/>
  <c r="N273"/>
  <c r="O273"/>
  <c r="Q273"/>
  <c r="R273"/>
  <c r="K274"/>
  <c r="L274"/>
  <c r="P269" i="3"/>
  <c r="Q269"/>
  <c r="L270"/>
  <c r="M270"/>
  <c r="M274" i="4"/>
  <c r="N274"/>
  <c r="O274"/>
  <c r="Q274"/>
  <c r="R274"/>
  <c r="K275"/>
  <c r="L275"/>
  <c r="P270" i="3"/>
  <c r="Q270"/>
  <c r="L271"/>
  <c r="M271"/>
  <c r="M275" i="4"/>
  <c r="N275"/>
  <c r="O275"/>
  <c r="Q275"/>
  <c r="R275"/>
  <c r="K276"/>
  <c r="L276"/>
  <c r="P271" i="3"/>
  <c r="Q271"/>
  <c r="L272"/>
  <c r="M272"/>
  <c r="M276" i="4"/>
  <c r="N276"/>
  <c r="O276"/>
  <c r="Q276"/>
  <c r="R276"/>
  <c r="K277"/>
  <c r="L277"/>
  <c r="P272" i="3"/>
  <c r="Q272"/>
  <c r="L273"/>
  <c r="M273"/>
  <c r="M277" i="4"/>
  <c r="N277"/>
  <c r="O277"/>
  <c r="Q277"/>
  <c r="R277"/>
  <c r="K278"/>
  <c r="L278"/>
  <c r="P273" i="3"/>
  <c r="Q273"/>
  <c r="L274"/>
  <c r="M274"/>
  <c r="M278" i="4"/>
  <c r="N278"/>
  <c r="O278"/>
  <c r="Q278"/>
  <c r="R278"/>
  <c r="K279"/>
  <c r="L279"/>
  <c r="P274" i="3"/>
  <c r="Q274"/>
  <c r="L275"/>
  <c r="M275"/>
  <c r="M279" i="4"/>
  <c r="N279"/>
  <c r="O279"/>
  <c r="Q279"/>
  <c r="R279"/>
  <c r="K280"/>
  <c r="L280"/>
  <c r="P275" i="3"/>
  <c r="Q275"/>
  <c r="L276"/>
  <c r="M276"/>
  <c r="M280" i="4"/>
  <c r="N280"/>
  <c r="O280"/>
  <c r="Q280"/>
  <c r="R280"/>
  <c r="K281"/>
  <c r="L281"/>
  <c r="P276" i="3"/>
  <c r="Q276"/>
  <c r="L277"/>
  <c r="M277"/>
  <c r="M281" i="4"/>
  <c r="N281"/>
  <c r="O281"/>
  <c r="Q281"/>
  <c r="R281"/>
  <c r="K282"/>
  <c r="L282"/>
  <c r="P277" i="3"/>
  <c r="Q277"/>
  <c r="L278"/>
  <c r="M278"/>
  <c r="M282" i="4"/>
  <c r="N282"/>
  <c r="O282"/>
  <c r="Q282"/>
  <c r="R282"/>
  <c r="K283"/>
  <c r="L283"/>
  <c r="P278" i="3"/>
  <c r="Q278"/>
  <c r="L279"/>
  <c r="M279"/>
  <c r="M283" i="4"/>
  <c r="N283"/>
  <c r="O283"/>
  <c r="Q283"/>
  <c r="R283"/>
  <c r="K284"/>
  <c r="L284"/>
  <c r="P279" i="3"/>
  <c r="Q279"/>
  <c r="L280"/>
  <c r="M280"/>
  <c r="M284" i="4"/>
  <c r="N284"/>
  <c r="O284"/>
  <c r="Q284"/>
  <c r="R284"/>
  <c r="K285"/>
  <c r="L285"/>
  <c r="P280" i="3"/>
  <c r="Q280"/>
  <c r="L281"/>
  <c r="M281"/>
  <c r="M285" i="4"/>
  <c r="N285"/>
  <c r="O285"/>
  <c r="Q285"/>
  <c r="R285"/>
  <c r="K286"/>
  <c r="L286"/>
  <c r="P281" i="3"/>
  <c r="Q281"/>
  <c r="L282"/>
  <c r="M282"/>
  <c r="M286" i="4"/>
  <c r="N286"/>
  <c r="O286"/>
  <c r="Q286"/>
  <c r="R286"/>
  <c r="K287"/>
  <c r="L287"/>
  <c r="P282" i="3"/>
  <c r="Q282"/>
  <c r="L283"/>
  <c r="M283"/>
  <c r="M287" i="4"/>
  <c r="N287"/>
  <c r="O287"/>
  <c r="Q287"/>
  <c r="R287"/>
  <c r="K288"/>
  <c r="L288"/>
  <c r="P283" i="3"/>
  <c r="Q283"/>
  <c r="L284"/>
  <c r="M284"/>
  <c r="M288" i="4"/>
  <c r="N288"/>
  <c r="O288"/>
  <c r="Q288"/>
  <c r="R288"/>
  <c r="K289"/>
  <c r="L289"/>
  <c r="P284" i="3"/>
  <c r="Q284"/>
  <c r="L285"/>
  <c r="M285"/>
  <c r="M289" i="4"/>
  <c r="N289"/>
  <c r="O289"/>
  <c r="Q289"/>
  <c r="R289"/>
  <c r="K290"/>
  <c r="L290"/>
  <c r="P285" i="3"/>
  <c r="Q285"/>
  <c r="L286"/>
  <c r="M286"/>
  <c r="M290" i="4"/>
  <c r="N290"/>
  <c r="O290"/>
  <c r="Q290"/>
  <c r="R290"/>
  <c r="K291"/>
  <c r="L291"/>
  <c r="P286" i="3"/>
  <c r="Q286"/>
  <c r="L287"/>
  <c r="M287"/>
  <c r="M291" i="4"/>
  <c r="N291"/>
  <c r="O291"/>
  <c r="Q291"/>
  <c r="R291"/>
  <c r="K292"/>
  <c r="L292"/>
  <c r="P287" i="3"/>
  <c r="Q287"/>
  <c r="L288"/>
  <c r="M288"/>
  <c r="M292" i="4"/>
  <c r="N292"/>
  <c r="O292"/>
  <c r="Q292"/>
  <c r="R292"/>
  <c r="K293"/>
  <c r="L293"/>
  <c r="P288" i="3"/>
  <c r="Q288"/>
  <c r="L289"/>
  <c r="M289"/>
  <c r="M293" i="4"/>
  <c r="N293"/>
  <c r="O293"/>
  <c r="Q293"/>
  <c r="R293"/>
  <c r="K294"/>
  <c r="L294"/>
  <c r="P289" i="3"/>
  <c r="Q289"/>
  <c r="L290"/>
  <c r="M290"/>
  <c r="M294" i="4"/>
  <c r="N294"/>
  <c r="O294"/>
  <c r="Q294"/>
  <c r="R294"/>
  <c r="K295"/>
  <c r="L295"/>
  <c r="P290" i="3"/>
  <c r="Q290"/>
  <c r="L291"/>
  <c r="M291"/>
  <c r="M295" i="4"/>
  <c r="N295"/>
  <c r="O295"/>
  <c r="Q295"/>
  <c r="R295"/>
  <c r="K296"/>
  <c r="L296"/>
  <c r="P291" i="3"/>
  <c r="Q291"/>
  <c r="L292"/>
  <c r="M292"/>
  <c r="M296" i="4"/>
  <c r="N296"/>
  <c r="O296"/>
  <c r="Q296"/>
  <c r="R296"/>
  <c r="K297"/>
  <c r="L297"/>
  <c r="P292" i="3"/>
  <c r="Q292"/>
  <c r="L293"/>
  <c r="M293"/>
  <c r="M297" i="4"/>
  <c r="N297"/>
  <c r="O297"/>
  <c r="Q297"/>
  <c r="R297"/>
  <c r="K298"/>
  <c r="L298"/>
  <c r="P293" i="3"/>
  <c r="Q293"/>
  <c r="L294"/>
  <c r="M294"/>
  <c r="M298" i="4"/>
  <c r="N298"/>
  <c r="O298"/>
  <c r="Q298"/>
  <c r="R298"/>
  <c r="K299"/>
  <c r="L299"/>
  <c r="P294" i="3"/>
  <c r="Q294"/>
  <c r="L295"/>
  <c r="M295"/>
  <c r="M299" i="4"/>
  <c r="N299"/>
  <c r="O299"/>
  <c r="Q299"/>
  <c r="R299"/>
  <c r="K300"/>
  <c r="L300"/>
  <c r="P295" i="3"/>
  <c r="Q295"/>
  <c r="L296"/>
  <c r="M296"/>
  <c r="M300" i="4"/>
  <c r="N300"/>
  <c r="O300"/>
  <c r="Q300"/>
  <c r="R300"/>
  <c r="K301"/>
  <c r="L301"/>
  <c r="P296" i="3"/>
  <c r="Q296"/>
  <c r="L297"/>
  <c r="M297"/>
  <c r="M301" i="4"/>
  <c r="N301"/>
  <c r="O301"/>
  <c r="Q301"/>
  <c r="R301"/>
  <c r="K302"/>
  <c r="L302"/>
  <c r="P297" i="3"/>
  <c r="Q297"/>
  <c r="L298"/>
  <c r="M298"/>
  <c r="M302" i="4"/>
  <c r="N302"/>
  <c r="O302"/>
  <c r="Q302"/>
  <c r="R302"/>
  <c r="K303"/>
  <c r="L303"/>
  <c r="P298" i="3"/>
  <c r="Q298"/>
  <c r="L299"/>
  <c r="M299"/>
  <c r="M303" i="4"/>
  <c r="N303"/>
  <c r="O303"/>
  <c r="Q303"/>
  <c r="R303"/>
  <c r="K304"/>
  <c r="L304"/>
  <c r="P299" i="3"/>
  <c r="Q299"/>
  <c r="L300"/>
  <c r="M300"/>
  <c r="M304" i="4"/>
  <c r="N304"/>
  <c r="O304"/>
  <c r="Q304"/>
  <c r="R304"/>
  <c r="K305"/>
  <c r="L305"/>
  <c r="P300" i="3"/>
  <c r="Q300"/>
  <c r="L301"/>
  <c r="M301"/>
  <c r="M305" i="4"/>
  <c r="N305"/>
  <c r="O305"/>
  <c r="Q305"/>
  <c r="R305"/>
  <c r="K306"/>
  <c r="L306"/>
  <c r="P301" i="3"/>
  <c r="Q301"/>
  <c r="L302"/>
  <c r="M302"/>
  <c r="M306" i="4"/>
  <c r="N306"/>
  <c r="O306"/>
  <c r="Q306"/>
  <c r="R306"/>
  <c r="K307"/>
  <c r="L307"/>
  <c r="P302" i="3"/>
  <c r="Q302"/>
  <c r="L303"/>
  <c r="M303"/>
  <c r="M307" i="4"/>
  <c r="N307"/>
  <c r="O307"/>
  <c r="Q307"/>
  <c r="R307"/>
  <c r="K308"/>
  <c r="L308"/>
  <c r="P303" i="3"/>
  <c r="Q303"/>
  <c r="L304"/>
  <c r="M304"/>
  <c r="M308" i="4"/>
  <c r="N308"/>
  <c r="O308"/>
  <c r="Q308"/>
  <c r="R308"/>
  <c r="K309"/>
  <c r="L309"/>
  <c r="P304" i="3"/>
  <c r="Q304"/>
  <c r="L305"/>
  <c r="M305"/>
  <c r="M309" i="4"/>
  <c r="N309"/>
  <c r="N310"/>
  <c r="M310"/>
  <c r="O309"/>
  <c r="Q309"/>
  <c r="R309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A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C16"/>
  <c r="D11"/>
  <c r="D19"/>
  <c r="D22"/>
  <c r="P21"/>
  <c r="P20"/>
  <c r="P19"/>
  <c r="P18"/>
  <c r="P17"/>
  <c r="P16"/>
  <c r="P15"/>
  <c r="C15"/>
  <c r="P14"/>
  <c r="P13"/>
  <c r="D10"/>
  <c r="D13"/>
  <c r="P12"/>
  <c r="P11"/>
  <c r="P10"/>
  <c r="D8"/>
  <c r="M306" i="3"/>
  <c r="P305"/>
  <c r="Q305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D4" i="2"/>
  <c r="D42"/>
  <c r="D19"/>
  <c r="C80" i="15"/>
  <c r="C81"/>
  <c r="C79"/>
  <c r="G83"/>
  <c r="N8" i="2"/>
  <c r="L14"/>
  <c r="D18" i="15"/>
</calcChain>
</file>

<file path=xl/comments1.xml><?xml version="1.0" encoding="utf-8"?>
<comments xmlns="http://schemas.openxmlformats.org/spreadsheetml/2006/main">
  <authors>
    <author>Usuario</author>
  </authors>
  <commentList>
    <comment ref="J5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esta disponible este dato.</t>
        </r>
      </text>
    </comment>
  </commentList>
</comments>
</file>

<file path=xl/comments2.xml><?xml version="1.0" encoding="utf-8"?>
<comments xmlns="http://schemas.openxmlformats.org/spreadsheetml/2006/main">
  <authors>
    <author>HP</author>
    <author>Usuario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No tiene sentido, dado el tipo de negocio, una necesidad tan alta. ¿Será el coste de los coches?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No tiene sentido una amortización tan baja
</t>
        </r>
      </text>
    </comment>
    <comment ref="I5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esta disponible este dato.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K1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disponible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K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DISPONIBLE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DISPONIBLE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DISPONIBLE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disponible 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D52" authorId="0">
      <text>
        <r>
          <rPr>
            <b/>
            <sz val="9"/>
            <color indexed="81"/>
            <rFont val="Tahoma"/>
            <family val="2"/>
          </rPr>
          <t xml:space="preserve">cobramos el saldo de clientes al final del cuarto año
</t>
        </r>
      </text>
    </comment>
  </commentList>
</comments>
</file>

<file path=xl/comments7.xml><?xml version="1.0" encoding="utf-8"?>
<comments xmlns="http://schemas.openxmlformats.org/spreadsheetml/2006/main">
  <authors>
    <author>Usuario</author>
  </authors>
  <commentList>
    <comment ref="D114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ahorro fiscal de asesores y gastos de constitucion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el coste de los intereses neto de impuestos es el coste efectivo * (1-0.30)
</t>
        </r>
      </text>
    </comment>
  </commentList>
</comments>
</file>

<file path=xl/sharedStrings.xml><?xml version="1.0" encoding="utf-8"?>
<sst xmlns="http://schemas.openxmlformats.org/spreadsheetml/2006/main" count="2135" uniqueCount="711">
  <si>
    <t>El principal pago que tiene que hacer la compañía es la adquisición de la flota de vehículos.</t>
  </si>
  <si>
    <t>número de vehículos de combustión interna</t>
  </si>
  <si>
    <t>número de vehículos eléctricos</t>
  </si>
  <si>
    <t>composición de la flota de vehículos</t>
  </si>
  <si>
    <t>% de vehículos de combustión interna</t>
  </si>
  <si>
    <t>% de vehículos eléctricos</t>
  </si>
  <si>
    <t>precio de coste de los coches de combustión adquiridos</t>
  </si>
  <si>
    <t>euros</t>
  </si>
  <si>
    <t>precio de coste de los coches eléctricos adquiridos</t>
  </si>
  <si>
    <t>euros por coche</t>
  </si>
  <si>
    <t>euros actuales</t>
  </si>
  <si>
    <t>pago para adquirir la licencia de operador</t>
  </si>
  <si>
    <t>de vehículos de alquiler</t>
  </si>
  <si>
    <t>duración del permiso de operador</t>
  </si>
  <si>
    <t>años</t>
  </si>
  <si>
    <t>número de oficinas comerciales</t>
  </si>
  <si>
    <t>número total de ordenadores adquiridos</t>
  </si>
  <si>
    <t>coste del programa informático</t>
  </si>
  <si>
    <t>euros por ordenador</t>
  </si>
  <si>
    <t xml:space="preserve">coste de adquisición </t>
  </si>
  <si>
    <t>coste total de adquisición</t>
  </si>
  <si>
    <t>número de horas estimadas para desarro-</t>
  </si>
  <si>
    <t>llar una App</t>
  </si>
  <si>
    <t>horas</t>
  </si>
  <si>
    <t>coste estimado por hora de desarrollo</t>
  </si>
  <si>
    <t>de la aplicación</t>
  </si>
  <si>
    <t>euros por hora</t>
  </si>
  <si>
    <t xml:space="preserve">pago asumido </t>
  </si>
  <si>
    <t>pagos iniciales que requiere el proyecto</t>
  </si>
  <si>
    <t>Aportaciones de fondos de accionistas</t>
  </si>
  <si>
    <t>Familia Abaunza</t>
  </si>
  <si>
    <t>Ayudas públicas en concepto de subvenciones</t>
  </si>
  <si>
    <t>el coste de la totalidad de la flota eléctrica adquirida es financiado</t>
  </si>
  <si>
    <t>mediante ayudas públicas en concepto de subvención de capital</t>
  </si>
  <si>
    <t>financiación obtenida en concepto de subvención</t>
  </si>
  <si>
    <t>1-</t>
  </si>
  <si>
    <t>2-</t>
  </si>
  <si>
    <t>3-</t>
  </si>
  <si>
    <t>4-</t>
  </si>
  <si>
    <t>5-</t>
  </si>
  <si>
    <t>6-</t>
  </si>
  <si>
    <t>coste estimado de los asesores contratados</t>
  </si>
  <si>
    <t>servicios contratados durante</t>
  </si>
  <si>
    <t>meses</t>
  </si>
  <si>
    <t>euros por mes</t>
  </si>
  <si>
    <t>coste facturado</t>
  </si>
  <si>
    <t>ahorro fiscal generado</t>
  </si>
  <si>
    <t>tipo impositivo</t>
  </si>
  <si>
    <t>coste neto de  los asesores contratados</t>
  </si>
  <si>
    <t>desembolso inicial del proyecto</t>
  </si>
  <si>
    <t>Financiación bancaria obtenida</t>
  </si>
  <si>
    <t>condiciones del préstamo:</t>
  </si>
  <si>
    <t>1-plan francés de amortización</t>
  </si>
  <si>
    <t>2-tipo nominal anual capitalizable</t>
  </si>
  <si>
    <r>
      <t>mensualmente (J</t>
    </r>
    <r>
      <rPr>
        <i/>
        <vertAlign val="subscript"/>
        <sz val="9"/>
        <color theme="1"/>
        <rFont val="Calibri"/>
        <family val="2"/>
        <scheme val="minor"/>
      </rPr>
      <t>12</t>
    </r>
    <r>
      <rPr>
        <i/>
        <sz val="9"/>
        <color theme="1"/>
        <rFont val="Calibri"/>
        <family val="2"/>
        <scheme val="minor"/>
      </rPr>
      <t>)</t>
    </r>
  </si>
  <si>
    <t>3-pagos en concepto de gastos iniciales</t>
  </si>
  <si>
    <t>4-duración de la operación (años)</t>
  </si>
  <si>
    <t>dinero tomado a préstamo</t>
  </si>
  <si>
    <t>periodos de carencia parcial</t>
  </si>
  <si>
    <t>únicamente son pagados los intereses que genera el préstamo</t>
  </si>
  <si>
    <t>periodos de amortización de deuda</t>
  </si>
  <si>
    <t>fraccionamiento o número de pagos por año</t>
  </si>
  <si>
    <t>duración de la operación</t>
  </si>
  <si>
    <t>número total de pagos</t>
  </si>
  <si>
    <r>
      <t>J</t>
    </r>
    <r>
      <rPr>
        <vertAlign val="subscript"/>
        <sz val="9"/>
        <color theme="1"/>
        <rFont val="Calibri"/>
        <family val="2"/>
        <scheme val="minor"/>
      </rPr>
      <t>12</t>
    </r>
  </si>
  <si>
    <r>
      <t>i</t>
    </r>
    <r>
      <rPr>
        <b/>
        <vertAlign val="subscript"/>
        <sz val="9"/>
        <color theme="1"/>
        <rFont val="Calibri"/>
        <family val="2"/>
        <scheme val="minor"/>
      </rPr>
      <t>12</t>
    </r>
  </si>
  <si>
    <t>valoración actual</t>
  </si>
  <si>
    <t>pago o cuota de préstamo</t>
  </si>
  <si>
    <t>240 periodos € 1 al final de cada mes</t>
  </si>
  <si>
    <t>por recibir hoy € 139.58, la compañía queda obligada a devolver, durante</t>
  </si>
  <si>
    <t>TABLA FINANCIERA ELABORADA POR EL BANCO</t>
  </si>
  <si>
    <t>periodos</t>
  </si>
  <si>
    <t xml:space="preserve">deuda acumulada en el </t>
  </si>
  <si>
    <t xml:space="preserve">intereses generados por </t>
  </si>
  <si>
    <t>el préstamo en el periodo</t>
  </si>
  <si>
    <t>pago o cuota</t>
  </si>
  <si>
    <t>de préstamo</t>
  </si>
  <si>
    <t xml:space="preserve">cuota de </t>
  </si>
  <si>
    <t>intereses</t>
  </si>
  <si>
    <t>amortización</t>
  </si>
  <si>
    <t>prétamo al final del periodo</t>
  </si>
  <si>
    <t>préstamo al inicio del periodo</t>
  </si>
  <si>
    <t>pagos</t>
  </si>
  <si>
    <t>cobro inicial</t>
  </si>
  <si>
    <t>TIR mensual</t>
  </si>
  <si>
    <t>TAE</t>
  </si>
  <si>
    <t>TABLA SEGÚN CRITERIOS CONTABLES DE VALORACIÓN DEL PASIVO</t>
  </si>
  <si>
    <t>Operación efectiva desde el punto de vista del prestatario (CÁLCULO DE LA TAE del préstamo)</t>
  </si>
  <si>
    <t xml:space="preserve">deuda acumulada al </t>
  </si>
  <si>
    <t>inicio del periodo</t>
  </si>
  <si>
    <t>en el periodo</t>
  </si>
  <si>
    <t xml:space="preserve">pago o </t>
  </si>
  <si>
    <t>cuota de préstamo</t>
  </si>
  <si>
    <t>cuota de</t>
  </si>
  <si>
    <t>final del periodo</t>
  </si>
  <si>
    <t>intereses totales generados</t>
  </si>
  <si>
    <t>intereses explícitos</t>
  </si>
  <si>
    <t>intereses implícitos</t>
  </si>
  <si>
    <t>cuota de amortización</t>
  </si>
  <si>
    <t>interés explícito</t>
  </si>
  <si>
    <t>% anual</t>
  </si>
  <si>
    <t>7-</t>
  </si>
  <si>
    <t>pagos en concepto de constitución de la sociedad</t>
  </si>
  <si>
    <t>pagos relacionados con la constitución</t>
  </si>
  <si>
    <t>coste neto relacionados con la constitución</t>
  </si>
  <si>
    <t>ordenadores  y mobiliario adquiridos por oficina</t>
  </si>
  <si>
    <t>coste de adquisición mobiliario</t>
  </si>
  <si>
    <t>Personal</t>
  </si>
  <si>
    <t>Limpieza</t>
  </si>
  <si>
    <t>Plantilla</t>
  </si>
  <si>
    <t>coste total alquiler</t>
  </si>
  <si>
    <t>Alquiler de plazas del aeropuerto de Palma</t>
  </si>
  <si>
    <t>Flota total de vehiculos</t>
  </si>
  <si>
    <t>3.1</t>
  </si>
  <si>
    <t>3.2</t>
  </si>
  <si>
    <t>Alquiler de plazas en parking privados</t>
  </si>
  <si>
    <t>Aseguramiento de la flota</t>
  </si>
  <si>
    <t>Amortizacion de los vehiculos</t>
  </si>
  <si>
    <t>Pagos de intereses</t>
  </si>
  <si>
    <t>Publicidad</t>
  </si>
  <si>
    <t>Total coste</t>
  </si>
  <si>
    <t>coste total de personal</t>
  </si>
  <si>
    <t>asume la compañía es pagado en el mismo momento en el que se produce.</t>
  </si>
  <si>
    <t>Cuota de alquiler del local de Palma de Mallorca</t>
  </si>
  <si>
    <t>Cuota de alquiler de local del Aeropuerto</t>
  </si>
  <si>
    <t>Alquiler de los locales comerciales</t>
  </si>
  <si>
    <t>flota de vehículos de combustión</t>
  </si>
  <si>
    <t>flota de vehículos eléctrico</t>
  </si>
  <si>
    <t>plazas</t>
  </si>
  <si>
    <t>número de plazas contratadas</t>
  </si>
  <si>
    <t>euros por mes y  plaza</t>
  </si>
  <si>
    <t>Alquiler de plazas en parking privado</t>
  </si>
  <si>
    <t>3.3</t>
  </si>
  <si>
    <t xml:space="preserve">Alquiler de zonas propias de aparcamiento </t>
  </si>
  <si>
    <t>(zonas verdes)</t>
  </si>
  <si>
    <t>euros por mes y plaza</t>
  </si>
  <si>
    <t>Alquileres de plazas de aparcamiento para la flota de vehículos</t>
  </si>
  <si>
    <t>pago a un taller en concepto de la subcontra-</t>
  </si>
  <si>
    <t>tación del mantenimiento y reparaciones</t>
  </si>
  <si>
    <t>de la flota de vehículos</t>
  </si>
  <si>
    <t>coste</t>
  </si>
  <si>
    <t>euros por mes y vehículo</t>
  </si>
  <si>
    <t>Coste total de asegurar la flota de vehículos</t>
  </si>
  <si>
    <t>número de coches</t>
  </si>
  <si>
    <t xml:space="preserve">Nota: con el objetivo de elaborar un modelo más sencillo, consideraremos, por cada concepto, </t>
  </si>
  <si>
    <t>un único pago realizado al final del año.</t>
  </si>
  <si>
    <t>vida útil de los vehículos de combustión interna</t>
  </si>
  <si>
    <t>vida útil de los vehículos eléctricos</t>
  </si>
  <si>
    <t>precio de coste de un vehículo eléctrico</t>
  </si>
  <si>
    <t>euros por coche y año</t>
  </si>
  <si>
    <t>amortización anual de la flota eléctrica</t>
  </si>
  <si>
    <t>como mínimo, el margen antes de amortizaciones generado por cada coche eléctrico</t>
  </si>
  <si>
    <t>ha de ser la cantidad indicada para poder recuperar el dinero empleado en su adquisición</t>
  </si>
  <si>
    <t>precio de coste de un vehículo de combustión interna</t>
  </si>
  <si>
    <t>amortización anual de la flota de gasolina</t>
  </si>
  <si>
    <t>Amortizacion de la licencia</t>
  </si>
  <si>
    <t>vida útil del permiso obtenido</t>
  </si>
  <si>
    <t>coste del permiso</t>
  </si>
  <si>
    <t>euros por año</t>
  </si>
  <si>
    <t>amortización anual del coste</t>
  </si>
  <si>
    <t>de la licencia</t>
  </si>
  <si>
    <t>ver tabla financiera</t>
  </si>
  <si>
    <t>costes de anuncio en prensa escrita</t>
  </si>
  <si>
    <t>costes de anuncio en radio</t>
  </si>
  <si>
    <t>otros medios</t>
  </si>
  <si>
    <t>total coste publicidad</t>
  </si>
  <si>
    <t>Mantenimiento de la App y página WEB</t>
  </si>
  <si>
    <t>Nota: con el objetivo de elaborar un modelo más sencillo, supondremos proporcionalidad</t>
  </si>
  <si>
    <t>en los pagos</t>
  </si>
  <si>
    <t>total pagos mensuales</t>
  </si>
  <si>
    <t>Hipótesis realizadas sobre las necesidades de nuestra compañía</t>
  </si>
  <si>
    <t>Hipótesis sobre los fondos generados por Car4All</t>
  </si>
  <si>
    <t>1-escenario más probable</t>
  </si>
  <si>
    <t xml:space="preserve">probabilidad asignada al escenario </t>
  </si>
  <si>
    <t>%</t>
  </si>
  <si>
    <t>va a estar alquilada</t>
  </si>
  <si>
    <t>flota total de vehículos</t>
  </si>
  <si>
    <t>flota de vehículos eléctricos</t>
  </si>
  <si>
    <t>flota de vehículos de combustión interna</t>
  </si>
  <si>
    <t>vehículos</t>
  </si>
  <si>
    <t>1-por alquiler de vehículo eléctrico</t>
  </si>
  <si>
    <t>euros por día</t>
  </si>
  <si>
    <t>2-por alquiler de vehículo de combustión</t>
  </si>
  <si>
    <t>tasa media de ocupación de la flota en servicio estándar</t>
  </si>
  <si>
    <t>número de coches alquilados en servicio estandar</t>
  </si>
  <si>
    <t>coches</t>
  </si>
  <si>
    <t xml:space="preserve">suponemos que, diariamente, son alquilados en concepto de servicio estandar, </t>
  </si>
  <si>
    <t>tasa media de ocupación de la flota en servicios flexibles</t>
  </si>
  <si>
    <t>duración media de los servicios flexibles</t>
  </si>
  <si>
    <t>tarifa diaria estandar</t>
  </si>
  <si>
    <t>tarifa diaria flexible</t>
  </si>
  <si>
    <t>veces por día</t>
  </si>
  <si>
    <t>rotación de los servicios flexibles</t>
  </si>
  <si>
    <t>La tarifa estandar sería aplicable a los contratos de alquiler cuya</t>
  </si>
  <si>
    <t>duración sea de 3 ó más días</t>
  </si>
  <si>
    <t>La tarifa flexible sería aplicable a los contratos de alquiler</t>
  </si>
  <si>
    <t>cuya duración sea inferior a los 3 días</t>
  </si>
  <si>
    <t>número total de vehículos para el alquiler</t>
  </si>
  <si>
    <t>número de coches alquilados en servicios flexibles</t>
  </si>
  <si>
    <t>total vehículos diarios alquilados</t>
  </si>
  <si>
    <t>total vehículos ociosos</t>
  </si>
  <si>
    <t>% de vehículos alquilados de combustión</t>
  </si>
  <si>
    <t>% de vehículos eléctricos alquilados</t>
  </si>
  <si>
    <t>vehículos de combustión alquilados diariamente en servicio estandar</t>
  </si>
  <si>
    <t>vehículos eléctricos alquilados diariamente en servicio estandar</t>
  </si>
  <si>
    <t>vehículos eléctricos alquilados diariamente en servicios flexibles</t>
  </si>
  <si>
    <t>vehículos diarios de combustión alquilados</t>
  </si>
  <si>
    <t>coches por día</t>
  </si>
  <si>
    <t>tarifa</t>
  </si>
  <si>
    <t>vehículos diarios eléctricos alquilados</t>
  </si>
  <si>
    <t>total retorno de caja</t>
  </si>
  <si>
    <t>proyecto</t>
  </si>
  <si>
    <t>emplear hoy recursos financieros para la obtención de los permisos y la flota de</t>
  </si>
  <si>
    <t xml:space="preserve">vehículos necesarios para poder explotar un negocio de alquiler de coches. Este empleo </t>
  </si>
  <si>
    <t>de recursos lo compararemos con otros que generen retornos de caja con un riesgo similar</t>
  </si>
  <si>
    <t xml:space="preserve">al de nuestro proyecto. </t>
  </si>
  <si>
    <t xml:space="preserve">En base a esto, el modelo realizado tomará una decisión sobre la conveniencia o no de </t>
  </si>
  <si>
    <t>emplear hoy recursos en el proyecto.</t>
  </si>
  <si>
    <t>*este ahorro fiscal lo consideraremos al final del primer año</t>
  </si>
  <si>
    <t>caja obtenida de las diversas fuentes</t>
  </si>
  <si>
    <t>recursos obtenidos en concepto</t>
  </si>
  <si>
    <t>de subvención de capital</t>
  </si>
  <si>
    <t>pagos en concepto de todas las</t>
  </si>
  <si>
    <t>necesidades iniciales</t>
  </si>
  <si>
    <t>recurso financieros que hoy necesita emplear el proyecto</t>
  </si>
  <si>
    <t>necesidad anual de reposición del negocio</t>
  </si>
  <si>
    <t>valor margen</t>
  </si>
  <si>
    <t>EBITDA</t>
  </si>
  <si>
    <t>impuesto</t>
  </si>
  <si>
    <t>euros propiedad del Estado por cada euro de valor obtenido medido mediante el margen EBIT</t>
  </si>
  <si>
    <t>BAIDI</t>
  </si>
  <si>
    <t>EBIT-BAII</t>
  </si>
  <si>
    <t>fondos atribuidos</t>
  </si>
  <si>
    <t>proveedores</t>
  </si>
  <si>
    <t>euros monetarios</t>
  </si>
  <si>
    <t>tasa anual de crecimiento de las ventas</t>
  </si>
  <si>
    <t xml:space="preserve">suponemos que los retornos de caja que devuelve el proyecto crecen, cada año, </t>
  </si>
  <si>
    <t>con respecto al anterior, en la cantidad indicada</t>
  </si>
  <si>
    <t xml:space="preserve">Suponemos que, durante el periodo considerado, la economía es ligeramente inflacionaria, lo </t>
  </si>
  <si>
    <t>que tiene como efecto la pérdida de valor del dinero.</t>
  </si>
  <si>
    <t>IPC</t>
  </si>
  <si>
    <t>precio de los bienes y servicios</t>
  </si>
  <si>
    <t>al inicio del periodo</t>
  </si>
  <si>
    <t>tasa anual de</t>
  </si>
  <si>
    <t>inflación</t>
  </si>
  <si>
    <t>al final del periodo</t>
  </si>
  <si>
    <t>unidades monetarias</t>
  </si>
  <si>
    <t>Debido a la inflación son necesarias 114.87 unidades monetarias para adquirir los mismos</t>
  </si>
  <si>
    <t>bienes y servicios que al inicio del año 1 requerían emplear 100 unidades monetarias, lo que</t>
  </si>
  <si>
    <t>demuestra la pérdida de valor adquisitivo del dinero.</t>
  </si>
  <si>
    <t>Este hecho será tenido en cuenta por nuestro modelo.</t>
  </si>
  <si>
    <t>coste agencia</t>
  </si>
  <si>
    <t>Necesidades</t>
  </si>
  <si>
    <t>a la explotación*</t>
  </si>
  <si>
    <t>Impuestos</t>
  </si>
  <si>
    <t>Fondos</t>
  </si>
  <si>
    <t>Existencias</t>
  </si>
  <si>
    <t>Crédito comercial</t>
  </si>
  <si>
    <t>Total necesidades</t>
  </si>
  <si>
    <t>acreedores</t>
  </si>
  <si>
    <t>Total financiación</t>
  </si>
  <si>
    <t>NFR</t>
  </si>
  <si>
    <r>
      <rPr>
        <b/>
        <sz val="9"/>
        <color theme="1"/>
        <rFont val="Calibri"/>
        <family val="2"/>
      </rPr>
      <t>Δ</t>
    </r>
    <r>
      <rPr>
        <b/>
        <i/>
        <sz val="9"/>
        <color theme="1"/>
        <rFont val="Calibri"/>
        <family val="2"/>
      </rPr>
      <t xml:space="preserve"> NFR</t>
    </r>
  </si>
  <si>
    <t>Nota: será necesaria una inversión del 10% de los ingresos en circulante</t>
  </si>
  <si>
    <t>ingresos obtenidos convertidos en disponible</t>
  </si>
  <si>
    <t>necesidad de inversión en circulante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</si>
  <si>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</si>
  <si>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</si>
  <si>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</si>
  <si>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</si>
  <si>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</si>
  <si>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</si>
  <si>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</si>
  <si>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</si>
  <si>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</si>
  <si>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</si>
  <si>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</si>
  <si>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</si>
  <si>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 por mes</t>
  </si>
  <si>
    <t>días por año</t>
  </si>
  <si>
    <t>Ventas*</t>
  </si>
  <si>
    <t>Necesidad de inversión en circulante operativo</t>
  </si>
  <si>
    <t>% de ventas</t>
  </si>
  <si>
    <t>Perfil de fondos del proyecto</t>
  </si>
  <si>
    <t>tesorería</t>
  </si>
  <si>
    <t>u.m. corrientes</t>
  </si>
  <si>
    <t>1-escenario menos probable</t>
  </si>
  <si>
    <t>1-escenario de probabilidad intermedia</t>
  </si>
  <si>
    <r>
      <t xml:space="preserve">Nota: </t>
    </r>
    <r>
      <rPr>
        <i/>
        <sz val="9"/>
        <color theme="1"/>
        <rFont val="Calibri"/>
        <family val="2"/>
        <scheme val="minor"/>
      </rPr>
      <t xml:space="preserve">con el objetivo de simplificar el modelo, suponemos que el coste total de personal que </t>
    </r>
  </si>
  <si>
    <t>el escenario optimista supone que, en cada día del año, el 65 % de la flota</t>
  </si>
  <si>
    <t>vehículos de combustión alquilados diariamente en servicios flexibles</t>
  </si>
  <si>
    <t>k</t>
  </si>
  <si>
    <t>Escenario</t>
  </si>
  <si>
    <t>neutral</t>
  </si>
  <si>
    <r>
      <t>C</t>
    </r>
    <r>
      <rPr>
        <b/>
        <i/>
        <vertAlign val="subscript"/>
        <sz val="9"/>
        <color theme="1"/>
        <rFont val="Calibri"/>
        <family val="2"/>
        <scheme val="minor"/>
      </rPr>
      <t>o</t>
    </r>
  </si>
  <si>
    <t>VAN</t>
  </si>
  <si>
    <t>probabilidad</t>
  </si>
  <si>
    <t>positivo</t>
  </si>
  <si>
    <t>negativo</t>
  </si>
  <si>
    <t>tasa s ajustada al riesgo del proyecto</t>
  </si>
  <si>
    <t>p</t>
  </si>
  <si>
    <t>VAN ajustado</t>
  </si>
  <si>
    <t>El proyecto de Car4All aporta valor en comparación con emplear hoy los</t>
  </si>
  <si>
    <t xml:space="preserve">recursos financieros en otras alternativas que generan retornos de caja con </t>
  </si>
  <si>
    <t>1-Escenario neutral</t>
  </si>
  <si>
    <t>2-Escenario negativo</t>
  </si>
  <si>
    <t>3-Escenario positivo</t>
  </si>
  <si>
    <t>proveedores de fondos del proyecto</t>
  </si>
  <si>
    <t>familia Abaunza</t>
  </si>
  <si>
    <t>euros aportados</t>
  </si>
  <si>
    <t>entidades financieras</t>
  </si>
  <si>
    <t>coste asumido neto</t>
  </si>
  <si>
    <t>ponderaciones</t>
  </si>
  <si>
    <t>ayudas recibidas</t>
  </si>
  <si>
    <t>TOTAL FONDOS OBTENIDOS</t>
  </si>
  <si>
    <t>coste medio ponderado del capital</t>
  </si>
  <si>
    <t>en tanto por 1</t>
  </si>
  <si>
    <t xml:space="preserve">un riesgo similar al del proyecto cuyo interés estamos analizando. El proyecto </t>
  </si>
  <si>
    <t>generaría unos retornos de caja de cuantías suficientes para poder remunerar</t>
  </si>
  <si>
    <t>a todos los proveedores de fondos en función del riesgo asumido por estar</t>
  </si>
  <si>
    <t>invertidos en el proyecto.</t>
  </si>
  <si>
    <t>CMPC</t>
  </si>
  <si>
    <t xml:space="preserve">coste que asume Car4All poder obtener los fondos procedentes de accionistas, </t>
  </si>
  <si>
    <t>de capitales son perfecetos, suponemos que los recursos financieros podrían</t>
  </si>
  <si>
    <t>ser hoy empleados en alternativas similares a Car4All obteniendo una rentabilidad</t>
  </si>
  <si>
    <t>al coste de los fondos.</t>
  </si>
  <si>
    <t>En el caso de existir un mercado de proyectos de inversión, éste sería el precio</t>
  </si>
  <si>
    <t>al que hoy cotizaría Car4All.</t>
  </si>
  <si>
    <t>en caso de cumplirse este escenario, no sería conveniente emplear hoy</t>
  </si>
  <si>
    <t>recursos financieros en la realización de Car4All, ya que existen otras</t>
  </si>
  <si>
    <t>alternativas que generan retornos de caja con riesgo similar que aportan</t>
  </si>
  <si>
    <t>un valor superior y permitirían remunerar adecuadamente a los proveedores de</t>
  </si>
  <si>
    <t xml:space="preserve"> fondos en función del riesgo que asumen.</t>
  </si>
  <si>
    <r>
      <t>C</t>
    </r>
    <r>
      <rPr>
        <b/>
        <vertAlign val="subscript"/>
        <sz val="9"/>
        <color theme="1"/>
        <rFont val="Calibri"/>
        <family val="2"/>
        <scheme val="minor"/>
      </rPr>
      <t>o</t>
    </r>
  </si>
  <si>
    <t>número de vehículos a adquirir y accesorios</t>
  </si>
  <si>
    <t>Accesorios</t>
  </si>
  <si>
    <t>sillas para niños</t>
  </si>
  <si>
    <t>alzador de sillas</t>
  </si>
  <si>
    <t>para remolques</t>
  </si>
  <si>
    <t>número de sillas para niños compradas</t>
  </si>
  <si>
    <t>número de alzadores de sillas</t>
  </si>
  <si>
    <t>número de remolques</t>
  </si>
  <si>
    <t>coste de las sillas para niños</t>
  </si>
  <si>
    <t>coste de los alzadores de sillas</t>
  </si>
  <si>
    <t>coste de los remolques</t>
  </si>
  <si>
    <t>euros por unidad</t>
  </si>
  <si>
    <t>Supervisor</t>
  </si>
  <si>
    <t>Mantenimiento y reparación de la flota de vehículos e impuesto de circulación</t>
  </si>
  <si>
    <t>euros por año y vehículo</t>
  </si>
  <si>
    <t>coste del impuesto de circulación</t>
  </si>
  <si>
    <t>pago para adquirir la flota de vehículos</t>
  </si>
  <si>
    <t>pago para adquirir los accesorios</t>
  </si>
  <si>
    <t xml:space="preserve">pago total </t>
  </si>
  <si>
    <t>INVERSIÓN INMOVILIZADO</t>
  </si>
  <si>
    <t>adquisición flota combustión interna</t>
  </si>
  <si>
    <t>vida útil</t>
  </si>
  <si>
    <t>adquisición flota eléctrica</t>
  </si>
  <si>
    <t>adquisición de licencia</t>
  </si>
  <si>
    <t>adquisición de equipos informáticos</t>
  </si>
  <si>
    <t>adquisición de mobiliario</t>
  </si>
  <si>
    <t>adquisición de aplicaciones informáticas</t>
  </si>
  <si>
    <t>total</t>
  </si>
  <si>
    <t>INVERSIÓN EN FONDO DE ROTACIÓN</t>
  </si>
  <si>
    <t>8-</t>
  </si>
  <si>
    <t>pago para adquirir la gasolina necesaria</t>
  </si>
  <si>
    <t>litros en cada coche</t>
  </si>
  <si>
    <t>número de coches de combustión</t>
  </si>
  <si>
    <t>coste estimado de la gasolina</t>
  </si>
  <si>
    <t>euros por litro</t>
  </si>
  <si>
    <t>pago inicial</t>
  </si>
  <si>
    <t>adquisición inicial de combustible</t>
  </si>
  <si>
    <t>GASTOS INICIALES</t>
  </si>
  <si>
    <t>pagos a asesores</t>
  </si>
  <si>
    <t xml:space="preserve">total </t>
  </si>
  <si>
    <t>TOTAL PAGOS</t>
  </si>
  <si>
    <t>FUENTE</t>
  </si>
  <si>
    <t>CANTIDAD</t>
  </si>
  <si>
    <t>Subvenciones de capital</t>
  </si>
  <si>
    <t>Préstamo a largo plazo</t>
  </si>
  <si>
    <t>PONDERACIÓN</t>
  </si>
  <si>
    <t>COSTE</t>
  </si>
  <si>
    <t>euros por mes y trabajador</t>
  </si>
  <si>
    <t>% de la flota que puede aparcar en el aeropuerto</t>
  </si>
  <si>
    <t>% de la flota que puede aparcar en parking privado</t>
  </si>
  <si>
    <t>Coste total de alquiler de plazas en el aeropuerto</t>
  </si>
  <si>
    <t>Coste total de alquiler de plazas en parking privado</t>
  </si>
  <si>
    <t>Coste total de alquilar zonas verdes de aparcamiento</t>
  </si>
  <si>
    <t>Coste tatal de alquiler de plazas de aparcamiento para la flota</t>
  </si>
  <si>
    <t>Coste total de mantenimiento de la flota e impuestos</t>
  </si>
  <si>
    <t>coste anual amortizado de la flota eléctrica</t>
  </si>
  <si>
    <t>coste anual amortizado de la flota de gasolina</t>
  </si>
  <si>
    <t>GASTO</t>
  </si>
  <si>
    <t>personal</t>
  </si>
  <si>
    <t xml:space="preserve">euros por mes </t>
  </si>
  <si>
    <t>mantenimiento e impuestos</t>
  </si>
  <si>
    <t>alquiler de plazas de aparcamiento</t>
  </si>
  <si>
    <t>alquiler de locales comerciales</t>
  </si>
  <si>
    <t>seguros de la flota</t>
  </si>
  <si>
    <t>publicidad</t>
  </si>
  <si>
    <t>mantenimiento de la App y página web</t>
  </si>
  <si>
    <t>CONSIDERACIONES</t>
  </si>
  <si>
    <t>suponemos que los pagos coinciden con el gasto</t>
  </si>
  <si>
    <t>amortizaciones de la flota de combustión</t>
  </si>
  <si>
    <t>gasto que no consume tesorería</t>
  </si>
  <si>
    <t>amortizaciones de la licencia</t>
  </si>
  <si>
    <t>pago de intereses</t>
  </si>
  <si>
    <t>ver anexo tabla financiera</t>
  </si>
  <si>
    <t>Año 2</t>
  </si>
  <si>
    <t>Año 1</t>
  </si>
  <si>
    <t>Año 3</t>
  </si>
  <si>
    <t>Año 4</t>
  </si>
  <si>
    <t>Ventas</t>
  </si>
  <si>
    <t>Costes de la explotación</t>
  </si>
  <si>
    <t>dotaciones a la amortización</t>
  </si>
  <si>
    <t>subvenciones imputadas</t>
  </si>
  <si>
    <t>valoración del proyecto</t>
  </si>
  <si>
    <t>impuestos</t>
  </si>
  <si>
    <t>amortizaciones</t>
  </si>
  <si>
    <t>Δ Fondo de rotación</t>
  </si>
  <si>
    <t>cash flow bruto</t>
  </si>
  <si>
    <t>Valor residual obtenido por el proyecto al final del cuarto año</t>
  </si>
  <si>
    <t>desinversión del fondo de rotación</t>
  </si>
  <si>
    <t>valor neto contable de la flota eléctrica</t>
  </si>
  <si>
    <t>valor neto contable de la flota de combustión</t>
  </si>
  <si>
    <t>precio de mercado de la flota eléctrica</t>
  </si>
  <si>
    <t>precio de mercado de la flota combustión</t>
  </si>
  <si>
    <t>valor residual del proyecto</t>
  </si>
  <si>
    <t>tesorería del proyecto (escenario neutral)</t>
  </si>
  <si>
    <t>flujo de caja</t>
  </si>
  <si>
    <t>ingresos</t>
  </si>
  <si>
    <t>el escenario central supone que, en cada día del año, el 70% de la flota</t>
  </si>
  <si>
    <t>2-ingresos en concepto de servicios flexible</t>
  </si>
  <si>
    <t>1-ingresos en concepto de servicios estandar</t>
  </si>
  <si>
    <t xml:space="preserve">euros monetarios </t>
  </si>
  <si>
    <t>CASH FLOW LIBRE</t>
  </si>
  <si>
    <t>margen EBIDT (BAII)</t>
  </si>
  <si>
    <t>margen EBIAT (BAI)</t>
  </si>
  <si>
    <t>el escenario pesimista supone que, en cada día del año, el 50 % de la flota</t>
  </si>
  <si>
    <t>entidades financieras. En base a la hipótesis de que los mercados</t>
  </si>
  <si>
    <t>coste que asume Car4All poder obtener los fondos procedentes de accionistas y</t>
  </si>
  <si>
    <t>de capitales son perfectos, suponemos que los recursos financieros podrían</t>
  </si>
  <si>
    <t>Desembolso inicial</t>
  </si>
  <si>
    <t>VAFC</t>
  </si>
  <si>
    <t>Probabilidad</t>
  </si>
  <si>
    <t>45 vehículos de nuestra flota</t>
  </si>
  <si>
    <t>54 vehículos de nuestra flota</t>
  </si>
  <si>
    <t>39vehículos de nuestra flota</t>
  </si>
  <si>
    <t>ingresos totales</t>
  </si>
  <si>
    <t>Clientes</t>
  </si>
  <si>
    <t>Líder del sector</t>
  </si>
  <si>
    <t>Balance de situación de Auto Click SA al cierre de los años 2015 y 2014</t>
  </si>
  <si>
    <t>Activo</t>
  </si>
  <si>
    <t>año 2015</t>
  </si>
  <si>
    <t>año 2014</t>
  </si>
  <si>
    <t xml:space="preserve"> Patrimonio neto y Pasivo</t>
  </si>
  <si>
    <t>A) Activo no corriente</t>
  </si>
  <si>
    <t>A) Patrimonio neto</t>
  </si>
  <si>
    <t>1-fondo de maniobra</t>
  </si>
  <si>
    <t>I. Inmovilizado inmaterial</t>
  </si>
  <si>
    <t>A.1 ) Fondos propios</t>
  </si>
  <si>
    <t>Los capitales permanentes obtenidos son empleados en las necesidades</t>
  </si>
  <si>
    <t>II. Inmovilizado material</t>
  </si>
  <si>
    <t>capital social</t>
  </si>
  <si>
    <t>netas del negocio de estar invertido en inmovilizados y además, en una</t>
  </si>
  <si>
    <t>Otros activos fijos</t>
  </si>
  <si>
    <t>otros fondos propios</t>
  </si>
  <si>
    <t>parte de las necesidades netas del negocio de estar invertido en partidas</t>
  </si>
  <si>
    <t>operativas y en el disponible.</t>
  </si>
  <si>
    <t>B) Pasivo no corriente</t>
  </si>
  <si>
    <t>B) Activo corriente</t>
  </si>
  <si>
    <t>acreedores a largo plazo</t>
  </si>
  <si>
    <t>En el corto plazo, los recursos que son dinero o que pueden ser convertidos</t>
  </si>
  <si>
    <t>II. Existencias</t>
  </si>
  <si>
    <t>otros pasivos</t>
  </si>
  <si>
    <t xml:space="preserve">en dinero en un periodo breve de tiempo, emplean pasivos de corto plazo </t>
  </si>
  <si>
    <t>III. Deudores comerciales</t>
  </si>
  <si>
    <t>y los capitales permanentes no empleados en las necesidades de largo plazo.</t>
  </si>
  <si>
    <t>y otras cuentas a cobrar</t>
  </si>
  <si>
    <t>C) Pasivo corriente</t>
  </si>
  <si>
    <t>VII. Tesorería</t>
  </si>
  <si>
    <t>III. Deudas a corto plazo</t>
  </si>
  <si>
    <t>Por lo tanto los recursos son mayores que las obligaciones de pago</t>
  </si>
  <si>
    <t>deudas financieras</t>
  </si>
  <si>
    <t>más inmediatas.</t>
  </si>
  <si>
    <t>V. Acreedores comerciales</t>
  </si>
  <si>
    <t>acreedores comerciales</t>
  </si>
  <si>
    <t xml:space="preserve">otros </t>
  </si>
  <si>
    <t>TOTAL ACTIVO</t>
  </si>
  <si>
    <t>TOTAL PATRIMONIO NETO y PASIVO</t>
  </si>
  <si>
    <t xml:space="preserve">Cuenta de pérdidas y ganancias correspondiente al </t>
  </si>
  <si>
    <t>cierre de los ejercicios terminados el 31 de diciembre</t>
  </si>
  <si>
    <t>de 2015, 2014 y 2013</t>
  </si>
  <si>
    <t>2-Capacidad de pago de las obligaciones</t>
  </si>
  <si>
    <t>1-Importe neto de la cifra de negocios</t>
  </si>
  <si>
    <t>AC/PC</t>
  </si>
  <si>
    <t>prueba ácida</t>
  </si>
  <si>
    <t>disponibilidad</t>
  </si>
  <si>
    <t>1-La compañía es solvente, ya que tiene más recursos en dinero y convertibles en dinero</t>
  </si>
  <si>
    <t>Margen de la explotación (EBITDA)</t>
  </si>
  <si>
    <t>en el corto plazo que obligaciones de pago inmediatos. Esto nos dice el primer</t>
  </si>
  <si>
    <t>ratio al ser mayor que 1.</t>
  </si>
  <si>
    <t xml:space="preserve">2-la prueba ácida nos dice que la posición de disponible y el crédito comercial no </t>
  </si>
  <si>
    <t>serían suficientes para poder pagar.</t>
  </si>
  <si>
    <t>8-Amortización del inmovilizado</t>
  </si>
  <si>
    <t xml:space="preserve">3-El ratio de disponible nos dice que por cada 100 € de obligaciones de pago inmediatas, </t>
  </si>
  <si>
    <t>Margen de la explotación (EBIT)</t>
  </si>
  <si>
    <t>la compañía tiene cash por 16.</t>
  </si>
  <si>
    <t xml:space="preserve">A pesar de tener un fondo de maniobra positivo, la capacidad de pago de la </t>
  </si>
  <si>
    <t>12-Ingresos financieros</t>
  </si>
  <si>
    <t xml:space="preserve">compañía es baja, ya que necesita emplear una gran cantidad de fondos en </t>
  </si>
  <si>
    <t>13-Gastos financieros</t>
  </si>
  <si>
    <t>existencias, lo que le impide tener dinero.</t>
  </si>
  <si>
    <t>3-Endeudamiento</t>
  </si>
  <si>
    <t>Resultado financiero</t>
  </si>
  <si>
    <t>Fondos ajenos / fondos propios</t>
  </si>
  <si>
    <t>Financiación bancaria / fondos propios</t>
  </si>
  <si>
    <t>Resultado ordinario antes de impuestos</t>
  </si>
  <si>
    <t>autonomía financiera</t>
  </si>
  <si>
    <t>coste financiero de los pasivos bancarios</t>
  </si>
  <si>
    <t>17-Gasto del Impuesto sobre sociedades</t>
  </si>
  <si>
    <t xml:space="preserve">El riesgo de esta empresa es muy elevado ya que por cada euro que </t>
  </si>
  <si>
    <t>obtiene de sus accionistas y de su negocio, obtiene € 10 procedentes de</t>
  </si>
  <si>
    <t>terceros.</t>
  </si>
  <si>
    <t xml:space="preserve">SI la compañía consigue rentabilizar los fondos que obtiene de terceros, </t>
  </si>
  <si>
    <t>Resultado ordinario del ejercicio</t>
  </si>
  <si>
    <t xml:space="preserve">sus accionistas obtendrán rentabilidades muy elevadas, pero en caso </t>
  </si>
  <si>
    <t xml:space="preserve">contrario, en una crisis del sector, con rentabilidades económias bajas o </t>
  </si>
  <si>
    <t>negativas, los intereses de la deuda necesitarían consumir una gran cantidad</t>
  </si>
  <si>
    <t>tipo impositivo efectivo</t>
  </si>
  <si>
    <t xml:space="preserve">de dinero a los accionistas, siendo en este caso, la rentabilidad de éstos </t>
  </si>
  <si>
    <t>muy negativa.</t>
  </si>
  <si>
    <t>Análisis de la cuenta de pérdidas y ganancias año 2015</t>
  </si>
  <si>
    <t>ratios de eficiencia operativa</t>
  </si>
  <si>
    <t>margen EBIT/ ventas</t>
  </si>
  <si>
    <t>ventas / total activo</t>
  </si>
  <si>
    <t>clientes</t>
  </si>
  <si>
    <t>rentabilidad operativa</t>
  </si>
  <si>
    <t>existencias</t>
  </si>
  <si>
    <t xml:space="preserve">margen EBIT / total activo </t>
  </si>
  <si>
    <t>total necesidades</t>
  </si>
  <si>
    <t>eficiencia * rotación</t>
  </si>
  <si>
    <t>total financiación recibida</t>
  </si>
  <si>
    <t>Cada euro que es empleado en este negocio durante el año 2015 genera</t>
  </si>
  <si>
    <t>un valor medido a través del margen EBIT (BAII) de 0.00516. En principio, no parece</t>
  </si>
  <si>
    <t>necesidad neta operativa</t>
  </si>
  <si>
    <t>una rentabilidad excesiva dado el riesgo que asumen los proveedores de fondos.</t>
  </si>
  <si>
    <t>La causa principal de esta rentabilidad recae en el elevado volumen de ventas dado el nivel</t>
  </si>
  <si>
    <t xml:space="preserve">Las necesidades netas operativas necesitan emplear la totalidad del fondo de maniobra y, </t>
  </si>
  <si>
    <t>de inversión de la compañía. Los márgenes no son excesivamente buenos, ya que por cada € 100 de ventas</t>
  </si>
  <si>
    <t xml:space="preserve">además, una parte de los fondos obtenidos con exigencia inmediata de devolución. </t>
  </si>
  <si>
    <t>las necesidades de la explotación consumen € 96.</t>
  </si>
  <si>
    <t xml:space="preserve">Por lo tanto, estas elevadas necesidades netas operativas empeoran la posición de disponible, </t>
  </si>
  <si>
    <t>Si este competidor es líder en el sector, y tan sólo tiene un margen operativo del 4%, entendemos que nosotros</t>
  </si>
  <si>
    <t>siendo ésta una de las causas principales de la baja capacidad de pago de la compañía.</t>
  </si>
  <si>
    <t>no podremos fijar precios más elevados que el líder, por lo que trataremos de ser muy eficientes en costes.</t>
  </si>
  <si>
    <t>rentabilidad financiera 2015</t>
  </si>
  <si>
    <t>La rentabilidad de los accionistas por cada euro que emplean en este negocio es muy superior</t>
  </si>
  <si>
    <t>al 5.16% anual que genera la actividad. Esto sólo puede explicarse por el efecto del apalancamiento</t>
  </si>
  <si>
    <t>financiero.</t>
  </si>
  <si>
    <t>Vamos a intentar calcularlo:</t>
  </si>
  <si>
    <t>Fondos Ajenos 2015</t>
  </si>
  <si>
    <t>Fondos propios 2015</t>
  </si>
  <si>
    <t>ratio de apalancamiento</t>
  </si>
  <si>
    <t>por cada euro que la cia obtiene de los accionistas obtiene € 10 procedentes</t>
  </si>
  <si>
    <t>de terceros</t>
  </si>
  <si>
    <t>I</t>
  </si>
  <si>
    <t xml:space="preserve">coste neto de los intereses. Es el coste de poder emplear en las necesidades del </t>
  </si>
  <si>
    <t>negocio los fondos obtenidos por aportaciones de terceros</t>
  </si>
  <si>
    <t>i</t>
  </si>
  <si>
    <t>euros de coste por cada euro obtenido por aportaciones de terceros que es empleado en</t>
  </si>
  <si>
    <t>las necesidades del negocio de estar invertido</t>
  </si>
  <si>
    <t>r-i</t>
  </si>
  <si>
    <t xml:space="preserve">valor aportado por cada euro obtenido procedente de terceros que </t>
  </si>
  <si>
    <t>es empleado en las necesidades de inversión del negocio</t>
  </si>
  <si>
    <t>efecto palanca</t>
  </si>
  <si>
    <t>Vemos que los accionistas obtienen una elevada rentabilidad porque el negocio es capaz de rentabilizar</t>
  </si>
  <si>
    <t>las aportaciones de fondos que recibe de terceros, lo que hace aumentar el beneficio neto sin que los accionistas</t>
  </si>
  <si>
    <t>tengan que realizar más aportaciones. La rentabilidad de los accionistas, pero el riesgo es muy alto.</t>
  </si>
  <si>
    <t>1-consideramos más adecuado utilizar el margen EBIT ya que en su cálculo considera la disminución del valor</t>
  </si>
  <si>
    <t>de la flota de vehículos como consecuencia de su uso en el negocio (la amortización del vehículo).</t>
  </si>
  <si>
    <t>El margen EBITDA, en su cálculo no tiene en cuenta la amortización, por lo que obtendríamos unos</t>
  </si>
  <si>
    <t>resultados de rentabilidades artificialmente altos.</t>
  </si>
  <si>
    <t>Balance de situación de Autos Veny SA al cierre de los años 2015, 2014 y 2013 (euros)</t>
  </si>
  <si>
    <t>año 2013</t>
  </si>
  <si>
    <t xml:space="preserve"> A lo largo de los tres años el fondo de maniobra es negativo, lo que significa</t>
  </si>
  <si>
    <t>que los capitales permanentes no son suficientes para hacer frente a las necesidades</t>
  </si>
  <si>
    <t>netas del negocio de estar invertido en inmovilizados. Por lo tanto, una parte importante</t>
  </si>
  <si>
    <t>de la deuda a corto plazo ha de ser empleada en esta necesidad no cubierta.</t>
  </si>
  <si>
    <t xml:space="preserve">La implicación en el corto plazo es que las obligaciones de pago inmediatas son </t>
  </si>
  <si>
    <t xml:space="preserve">mucho mayores que los recursos disponibles, por lo que las posibilidades de no </t>
  </si>
  <si>
    <t>poder hacer frente a los pagos son elevadas.</t>
  </si>
  <si>
    <t>Es muy probable que la compañía no pueda hacer frente a los pagos más inmediatos</t>
  </si>
  <si>
    <t>*sin tener en cuenta la necesidad de amortización, la compañía asume más pasivo que los incrementos netos de activo</t>
  </si>
  <si>
    <t>que genera su explotación, o incluso pudiera ocurrir que la explotación disminuyera los activos.</t>
  </si>
  <si>
    <t>nd</t>
  </si>
  <si>
    <t xml:space="preserve">Observamos que la compañía opera con unos niveles de endeudamiento razonables, </t>
  </si>
  <si>
    <t>pero se encuentra mal distribuida ya que tiene un exceso de pasivo con exigencia de</t>
  </si>
  <si>
    <t>devolución inmediata.</t>
  </si>
  <si>
    <t>*según la contabilidad, este negocio incurre en pérdidas durante los tres años. Lo normal es que estas</t>
  </si>
  <si>
    <t xml:space="preserve">pérdidas contables originen un ingreso a la compañía en concepto de crédito fiscal que sería empleado </t>
  </si>
  <si>
    <t xml:space="preserve">en años futuros cuando el negocio obtenga beneficios con el objetivo de reducir la cantidad a pagar en </t>
  </si>
  <si>
    <t>concepto de impuesto.</t>
  </si>
  <si>
    <t>Consideramos que el coste que asume este competidor poder disponer de la</t>
  </si>
  <si>
    <t>financiación bancaria es aproximadamente el 2% anual</t>
  </si>
  <si>
    <t>Análisis de la cuenta de pérdidas y ganancias</t>
  </si>
  <si>
    <t>4-Necesidades del circulante</t>
  </si>
  <si>
    <t>El dinero y el crédito generado por las ventas no son suficientes para poder hacer frente a todas las necesidades de la explotación, por lo que éstas</t>
  </si>
  <si>
    <t>consumen una parte de la riqueza de los accionistas.</t>
  </si>
  <si>
    <t xml:space="preserve">Dado el riesgo asumido en este negocio, entendemos que esta rentabilidad operativa no sería sostenible </t>
  </si>
  <si>
    <t>en el largo plazo, ya que recurrentemente necesitaría consumir la riqueza de los accionistas.</t>
  </si>
  <si>
    <t>rentabilidad financiera</t>
  </si>
  <si>
    <t xml:space="preserve">Apreciamos que en los tres años, los accionistas han perdido parte de lo aportado, </t>
  </si>
  <si>
    <t>En los tres años la financiación operativa no es suficiente para hacer</t>
  </si>
  <si>
    <t xml:space="preserve">frente a la totalidad de las necesidades netas de estar invertida en partidas operativas, </t>
  </si>
  <si>
    <t xml:space="preserve">por lo que es necesario emplear en estas necesidades bien un préstamo a corto plazo, </t>
  </si>
  <si>
    <t xml:space="preserve">Nota: nos parece un poco extraño las elevadas necesidades de la compañía de </t>
  </si>
  <si>
    <t>estar invertida en existencias.</t>
  </si>
  <si>
    <t>Balance de situación de Hyper Rent Car SA al cierre de los años 2015, 2012 y 2011 (euros)</t>
  </si>
  <si>
    <t>año 2012</t>
  </si>
  <si>
    <t>año 2011</t>
  </si>
  <si>
    <t>variable</t>
  </si>
  <si>
    <t>En el año 2011, el fondo de maniobra es negativo en 20,553,455 euros, lo que significa</t>
  </si>
  <si>
    <t>Esta situación es solventada en el año siguiente mediante un elevado endeudamiento</t>
  </si>
  <si>
    <t>a largo plazo.</t>
  </si>
  <si>
    <t>Durante el año 2015, el fondo de rotación es positivo, lo que significa que los capitales</t>
  </si>
  <si>
    <t xml:space="preserve">permanentes son suficientes para hacer frente a las necesidades de estar invertido en </t>
  </si>
  <si>
    <t>inmovilizados y son también empleados en las necesidades operativas de estar invertido.</t>
  </si>
  <si>
    <t>Debido a que las necesidades operativas no son demasiadas, la mayor</t>
  </si>
  <si>
    <t>parte de los capitales permanentes son empleados en dinero.</t>
  </si>
  <si>
    <t>Esto permite que los recursos de corto plazo sean mayores que las obligaciones</t>
  </si>
  <si>
    <t>inmediatas de pago.</t>
  </si>
  <si>
    <t xml:space="preserve">Podemos suponer que la disminución del fondo de rotación del año 2015 es </t>
  </si>
  <si>
    <t>debido a que la compañía amortiza aceleradamente su deuda bancaria a largo</t>
  </si>
  <si>
    <t>plazo.</t>
  </si>
  <si>
    <t>de 2015, 2012 y 2011</t>
  </si>
  <si>
    <t xml:space="preserve">Salvo en el año 2011, en el que la compañía estaba en situación de quiebra, </t>
  </si>
  <si>
    <t>en el resto de años analizados su capacidad es muy elevada</t>
  </si>
  <si>
    <t xml:space="preserve">En el año 2011, la compañía se encuentra con fondos propios negativos, lo que significa que </t>
  </si>
  <si>
    <t>su negocio ha necesitado consumir todo aportado por los socios y además una parte de lo aportado</t>
  </si>
  <si>
    <t>por el banco, lo que es una situación de quiebra, ya que los pasivos mayores que los activos.</t>
  </si>
  <si>
    <t>En el año 2012, el endeudamiento alcanza niveles insostenibles, ya que por cada euro que la cia obtiene</t>
  </si>
  <si>
    <t>por las aportaciones de los socios y del negocio, los fondos ajenos aportan 400 euro, lo que hace prácticamente</t>
  </si>
  <si>
    <t>imposible su devolución.</t>
  </si>
  <si>
    <t>Sin embargo, en el año 2015, la compañía consigue reconducir la situación, y opera con unos niveles</t>
  </si>
  <si>
    <t>de endeudamiento razonables.</t>
  </si>
  <si>
    <t>financiación bancaria es aproximadamente el 4% anual</t>
  </si>
  <si>
    <t>En el año 2015, las aportaciones que obtiene de terceros representan poco más de 1 vez las aportaciones</t>
  </si>
  <si>
    <t>que son propiedad de los accionistas.</t>
  </si>
  <si>
    <t>La mitad de la financiación permanente obtenida procede de las entidades financieras.</t>
  </si>
  <si>
    <t>La rentabilidad operativa del negocio no es demasiado elevada. Cada euro que es empleado durante 1 año</t>
  </si>
  <si>
    <t>en esta actividad genera, en torno a 0.05 euros adicionales de valor margen EBIT.</t>
  </si>
  <si>
    <t>en el largo plazo.</t>
  </si>
  <si>
    <t xml:space="preserve">en los años 2011 y 2015, la financiación operativa que recibe la compañía es mayor que </t>
  </si>
  <si>
    <t xml:space="preserve">sus necesidades de estar invertida en partidas operativas, lo que le permite tener </t>
  </si>
  <si>
    <t>una mayor disponibilidad, lo que mejora su capacidad de pago.</t>
  </si>
  <si>
    <t>En el año 2011, los accionistas han perdido todo lo aportado, y además deben a los terceros una</t>
  </si>
  <si>
    <t>Sin embargo, en el año 2012, la financiación operativa no es suficiente para hacer</t>
  </si>
  <si>
    <t>parte de los fondos que éstos han aportado y el negocio ha necesitado consumir. De ahí el signo negativo de la rentabilida.</t>
  </si>
  <si>
    <t>En el año 2012, la rentabilidad de los accionistas es elevadísima. Pero este dato está distorsionado debido a las elevadas</t>
  </si>
  <si>
    <t>pérdidas del negocio que ha consumido lo aportado por los accionistas. Al generar beneficios en el 2012, y las aportaciones</t>
  </si>
  <si>
    <t>bien los fondos obtenidos a largo plazo. (fondo de maniobra)</t>
  </si>
  <si>
    <t>de los accionistas ser mínimas, el dato de rentabilidad se dispara.</t>
  </si>
  <si>
    <t>En el año 2015, en el que los datos están más estabilizados, obtenemos que por cada euro invertido por los</t>
  </si>
  <si>
    <t>socios en la compañía, éste genera 0.19 euros adicionales en concepto de beneficio neto.</t>
  </si>
  <si>
    <t>La deuda contribuye a aumentar o apalancar la rentabilidad de los accionistas, ya que cada euro obtenido procedente de los bancos</t>
  </si>
  <si>
    <t xml:space="preserve">y del resto de acreedores que es empleado en el activo supone un coste para la compañía menor que </t>
  </si>
  <si>
    <t>la rentabilidad que obtiene por emplear dicho euro.</t>
  </si>
  <si>
    <t>Consecuentemente, los accionistas, pueden acceder a un mayor beneficio neto pero sin aportar ellos</t>
  </si>
  <si>
    <t>el dinero, lo que aumenta su ratio de rentabilidad</t>
  </si>
  <si>
    <t>Balance de situación de Sixt S.L al cierre de los años 2015, 2014 y 2013 (euros)</t>
  </si>
  <si>
    <t>n.d</t>
  </si>
  <si>
    <t>Durante los trs años, el fondo de rotación es positivo, lo que significa que los capitales</t>
  </si>
  <si>
    <t>en los tres años analizados su capacidad es muy elevada y va aumentando</t>
  </si>
  <si>
    <t>bien los fondos obtenidos a largo plazo.</t>
  </si>
  <si>
    <t>Balance de situación de AVIS S.A al cierre de los años 2015, 2014 y 2013 (euros)</t>
  </si>
  <si>
    <t>en esta actividad genera, en torno a 0.01 euros adicionales de valor margen EBIT.</t>
  </si>
  <si>
    <t>Balance de situación de Europcar S.A al cierre de los años 2015, 2014 y 2013 (euros)</t>
  </si>
  <si>
    <t>Balance de situación de HERZ S.L al cierre de los años 2015, 2014 y 2013 (euros)</t>
  </si>
  <si>
    <t>En los tres años la financiación operativa es suficiente para hacer</t>
  </si>
  <si>
    <t>frente a la totalidad de las necesidades netas de estar invertida en partidas operativas</t>
  </si>
  <si>
    <t>Competidor</t>
  </si>
  <si>
    <t>Sixt S.L</t>
  </si>
  <si>
    <t>AutoClick, S.A</t>
  </si>
  <si>
    <t>HyperRent, S.A.</t>
  </si>
  <si>
    <t>Autos Veny, S.A.</t>
  </si>
  <si>
    <t>fondo de maniobra</t>
  </si>
  <si>
    <t>ratio de prueba ácida</t>
  </si>
  <si>
    <t>ratio de endeudamiento</t>
  </si>
  <si>
    <t>margen EBIT/Ventas</t>
  </si>
  <si>
    <t>rentabilidad operativa (ROI)</t>
  </si>
  <si>
    <t>rentabilidad financiera (ROE)</t>
  </si>
  <si>
    <t>1-Solamente Sixt, S.A tiene una elevada capacidad de pago. El resto de las empresas</t>
  </si>
  <si>
    <t>Salvo Autos Veny, el resto de las empresas de la industria analizadas, operan con un fondo</t>
  </si>
  <si>
    <t>del sector analizadas pueden tener problemas a la hora de hacer frente a los pagos más inmediatos.</t>
  </si>
  <si>
    <t>de maniobra positivo, lo que les permite emplear una parte de los fondos obtenidos</t>
  </si>
  <si>
    <t>2-Salvo en el caso de AutoClick, el nivel de apalancamiento financiero de las compañías del sector es razonable.</t>
  </si>
  <si>
    <t xml:space="preserve">sin exigencia inmediata de devolución en sus necesidades de corto plazo, lo que, </t>
  </si>
  <si>
    <t>En todas ellas, los fondos obtenidos por aportaciones de terceros representan, aproximadamente, 1.50 veces</t>
  </si>
  <si>
    <t>en principio, ha de permitirles hacer frente a los pagos más inmediatos.</t>
  </si>
  <si>
    <t>los fondos obtenidos por las aportaciones de accionistas y del negocio.</t>
  </si>
  <si>
    <t>3-Sixt, S.L principal operador de mercado, opera con un elevado margen operativo. HyperRent, otro de los principales</t>
  </si>
  <si>
    <t>seguidores del mercado también consigue operar con un elevado margen.</t>
  </si>
  <si>
    <t>la rentabilidad de los accionistas.</t>
  </si>
  <si>
    <t>Autos Veny es, claramente, el operador más débil de la industria.</t>
  </si>
  <si>
    <t>4-El entorno de bajos de tipos de interés permite rentabilizar las aportaciones de la deuda, lo que hace aumentar</t>
  </si>
  <si>
    <t>Europcar S.A</t>
  </si>
  <si>
    <t>Hertz  S.L</t>
  </si>
  <si>
    <t>Avis S.A</t>
  </si>
  <si>
    <t>*</t>
  </si>
  <si>
    <t>u</t>
  </si>
  <si>
    <t>Amortizaciones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</si>
</sst>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0"/>
    <numFmt numFmtId="166" formatCode="#,##0.000000"/>
    <numFmt numFmtId="167" formatCode="#,##0.0"/>
  </numFmts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i/>
      <vertAlign val="sub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vertAlign val="subscript"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left"/>
    </xf>
    <xf numFmtId="4" fontId="1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left"/>
    </xf>
    <xf numFmtId="4" fontId="1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1" fillId="0" borderId="4" xfId="0" applyNumberFormat="1" applyFont="1" applyBorder="1"/>
    <xf numFmtId="4" fontId="2" fillId="0" borderId="16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2" fillId="0" borderId="17" xfId="0" applyNumberFormat="1" applyFont="1" applyBorder="1"/>
    <xf numFmtId="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2" fillId="0" borderId="18" xfId="0" applyNumberFormat="1" applyFont="1" applyBorder="1"/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/>
    <xf numFmtId="3" fontId="2" fillId="0" borderId="0" xfId="0" applyNumberFormat="1" applyFont="1" applyAlignment="1">
      <alignment horizontal="right"/>
    </xf>
    <xf numFmtId="4" fontId="3" fillId="0" borderId="0" xfId="0" applyNumberFormat="1" applyFont="1" applyBorder="1"/>
    <xf numFmtId="4" fontId="2" fillId="0" borderId="4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1" fillId="0" borderId="5" xfId="0" applyNumberFormat="1" applyFont="1" applyBorder="1"/>
    <xf numFmtId="4" fontId="1" fillId="0" borderId="15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7" xfId="0" applyNumberFormat="1" applyFont="1" applyBorder="1"/>
    <xf numFmtId="3" fontId="4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left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left"/>
    </xf>
    <xf numFmtId="4" fontId="3" fillId="0" borderId="29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1" fillId="0" borderId="17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9" xfId="0" applyNumberFormat="1" applyFont="1" applyBorder="1"/>
    <xf numFmtId="4" fontId="1" fillId="0" borderId="22" xfId="0" applyNumberFormat="1" applyFont="1" applyBorder="1"/>
    <xf numFmtId="4" fontId="3" fillId="0" borderId="6" xfId="0" applyNumberFormat="1" applyFont="1" applyBorder="1"/>
    <xf numFmtId="4" fontId="2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4" fontId="1" fillId="0" borderId="25" xfId="0" applyNumberFormat="1" applyFont="1" applyBorder="1"/>
    <xf numFmtId="4" fontId="3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left"/>
    </xf>
    <xf numFmtId="4" fontId="1" fillId="0" borderId="31" xfId="0" applyNumberFormat="1" applyFont="1" applyBorder="1" applyAlignment="1">
      <alignment horizontal="left"/>
    </xf>
    <xf numFmtId="4" fontId="2" fillId="0" borderId="3" xfId="0" applyNumberFormat="1" applyFont="1" applyBorder="1"/>
    <xf numFmtId="4" fontId="2" fillId="0" borderId="6" xfId="0" applyNumberFormat="1" applyFont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left"/>
    </xf>
    <xf numFmtId="4" fontId="2" fillId="0" borderId="2" xfId="0" applyNumberFormat="1" applyFont="1" applyBorder="1"/>
    <xf numFmtId="4" fontId="3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4" borderId="4" xfId="0" applyNumberFormat="1" applyFont="1" applyFill="1" applyBorder="1"/>
    <xf numFmtId="4" fontId="2" fillId="4" borderId="2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4" fontId="4" fillId="4" borderId="15" xfId="0" applyNumberFormat="1" applyFont="1" applyFill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4" fontId="1" fillId="4" borderId="16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4" fontId="3" fillId="4" borderId="15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1" fillId="4" borderId="0" xfId="0" applyNumberFormat="1" applyFont="1" applyFill="1" applyBorder="1"/>
    <xf numFmtId="4" fontId="1" fillId="4" borderId="16" xfId="0" applyNumberFormat="1" applyFont="1" applyFill="1" applyBorder="1"/>
    <xf numFmtId="4" fontId="1" fillId="4" borderId="15" xfId="0" applyNumberFormat="1" applyFont="1" applyFill="1" applyBorder="1"/>
    <xf numFmtId="4" fontId="3" fillId="4" borderId="6" xfId="0" applyNumberFormat="1" applyFont="1" applyFill="1" applyBorder="1" applyAlignment="1">
      <alignment horizontal="center"/>
    </xf>
    <xf numFmtId="4" fontId="3" fillId="4" borderId="3" xfId="0" applyNumberFormat="1" applyFont="1" applyFill="1" applyBorder="1"/>
    <xf numFmtId="4" fontId="1" fillId="4" borderId="3" xfId="0" applyNumberFormat="1" applyFont="1" applyFill="1" applyBorder="1"/>
    <xf numFmtId="4" fontId="1" fillId="4" borderId="7" xfId="0" applyNumberFormat="1" applyFont="1" applyFill="1" applyBorder="1"/>
    <xf numFmtId="10" fontId="3" fillId="0" borderId="0" xfId="0" applyNumberFormat="1" applyFont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3" fillId="0" borderId="17" xfId="0" applyNumberFormat="1" applyFont="1" applyBorder="1"/>
    <xf numFmtId="4" fontId="3" fillId="0" borderId="23" xfId="0" applyNumberFormat="1" applyFont="1" applyFill="1" applyBorder="1" applyAlignment="1">
      <alignment horizontal="center"/>
    </xf>
    <xf numFmtId="4" fontId="2" fillId="0" borderId="13" xfId="0" applyNumberFormat="1" applyFont="1" applyBorder="1"/>
    <xf numFmtId="4" fontId="2" fillId="0" borderId="34" xfId="0" applyNumberFormat="1" applyFont="1" applyBorder="1"/>
    <xf numFmtId="4" fontId="1" fillId="0" borderId="34" xfId="0" applyNumberFormat="1" applyFont="1" applyBorder="1"/>
    <xf numFmtId="4" fontId="3" fillId="2" borderId="13" xfId="0" applyNumberFormat="1" applyFont="1" applyFill="1" applyBorder="1" applyAlignment="1">
      <alignment horizontal="center"/>
    </xf>
    <xf numFmtId="4" fontId="1" fillId="4" borderId="9" xfId="0" applyNumberFormat="1" applyFont="1" applyFill="1" applyBorder="1"/>
    <xf numFmtId="4" fontId="3" fillId="4" borderId="34" xfId="0" applyNumberFormat="1" applyFont="1" applyFill="1" applyBorder="1" applyAlignment="1">
      <alignment horizontal="center"/>
    </xf>
    <xf numFmtId="4" fontId="1" fillId="4" borderId="35" xfId="0" applyNumberFormat="1" applyFont="1" applyFill="1" applyBorder="1"/>
    <xf numFmtId="4" fontId="4" fillId="4" borderId="10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1" xfId="0" applyNumberFormat="1" applyFont="1" applyFill="1" applyBorder="1" applyAlignment="1">
      <alignment horizontal="center"/>
    </xf>
    <xf numFmtId="4" fontId="2" fillId="4" borderId="12" xfId="0" applyNumberFormat="1" applyFont="1" applyFill="1" applyBorder="1" applyAlignment="1">
      <alignment horizontal="center"/>
    </xf>
    <xf numFmtId="4" fontId="1" fillId="4" borderId="13" xfId="0" applyNumberFormat="1" applyFont="1" applyFill="1" applyBorder="1"/>
    <xf numFmtId="4" fontId="2" fillId="4" borderId="14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4" fontId="4" fillId="0" borderId="31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0" borderId="25" xfId="0" applyNumberFormat="1" applyFont="1" applyBorder="1" applyAlignment="1">
      <alignment horizontal="left"/>
    </xf>
    <xf numFmtId="4" fontId="3" fillId="0" borderId="28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9" fillId="0" borderId="30" xfId="0" applyNumberFormat="1" applyFont="1" applyBorder="1" applyAlignment="1">
      <alignment horizontal="center"/>
    </xf>
    <xf numFmtId="4" fontId="1" fillId="0" borderId="30" xfId="0" applyNumberFormat="1" applyFont="1" applyBorder="1"/>
    <xf numFmtId="4" fontId="1" fillId="0" borderId="31" xfId="0" applyNumberFormat="1" applyFont="1" applyBorder="1"/>
    <xf numFmtId="4" fontId="1" fillId="0" borderId="8" xfId="0" applyNumberFormat="1" applyFont="1" applyBorder="1"/>
    <xf numFmtId="4" fontId="1" fillId="0" borderId="29" xfId="0" applyNumberFormat="1" applyFont="1" applyBorder="1"/>
    <xf numFmtId="4" fontId="3" fillId="0" borderId="25" xfId="0" applyNumberFormat="1" applyFont="1" applyBorder="1" applyAlignment="1">
      <alignment horizontal="left"/>
    </xf>
    <xf numFmtId="4" fontId="1" fillId="0" borderId="26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1" fillId="4" borderId="25" xfId="0" applyNumberFormat="1" applyFont="1" applyFill="1" applyBorder="1" applyAlignment="1">
      <alignment horizontal="left"/>
    </xf>
    <xf numFmtId="4" fontId="2" fillId="4" borderId="27" xfId="0" applyNumberFormat="1" applyFont="1" applyFill="1" applyBorder="1" applyAlignment="1">
      <alignment horizontal="center"/>
    </xf>
    <xf numFmtId="4" fontId="3" fillId="4" borderId="28" xfId="0" applyNumberFormat="1" applyFont="1" applyFill="1" applyBorder="1" applyAlignment="1">
      <alignment horizontal="center"/>
    </xf>
    <xf numFmtId="4" fontId="3" fillId="4" borderId="30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4" fontId="2" fillId="4" borderId="30" xfId="0" applyNumberFormat="1" applyFont="1" applyFill="1" applyBorder="1" applyAlignment="1">
      <alignment horizontal="center"/>
    </xf>
    <xf numFmtId="3" fontId="1" fillId="4" borderId="31" xfId="0" applyNumberFormat="1" applyFont="1" applyFill="1" applyBorder="1" applyAlignment="1">
      <alignment horizontal="center"/>
    </xf>
    <xf numFmtId="4" fontId="2" fillId="4" borderId="29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3" fillId="4" borderId="25" xfId="0" applyNumberFormat="1" applyFont="1" applyFill="1" applyBorder="1" applyAlignment="1">
      <alignment horizontal="left"/>
    </xf>
    <xf numFmtId="165" fontId="3" fillId="4" borderId="26" xfId="0" applyNumberFormat="1" applyFont="1" applyFill="1" applyBorder="1" applyAlignment="1">
      <alignment horizontal="center"/>
    </xf>
    <xf numFmtId="4" fontId="2" fillId="4" borderId="26" xfId="0" applyNumberFormat="1" applyFont="1" applyFill="1" applyBorder="1" applyAlignment="1">
      <alignment horizontal="center"/>
    </xf>
    <xf numFmtId="4" fontId="1" fillId="4" borderId="27" xfId="0" applyNumberFormat="1" applyFont="1" applyFill="1" applyBorder="1"/>
    <xf numFmtId="4" fontId="3" fillId="4" borderId="28" xfId="0" applyNumberFormat="1" applyFont="1" applyFill="1" applyBorder="1" applyAlignment="1">
      <alignment horizontal="left"/>
    </xf>
    <xf numFmtId="4" fontId="2" fillId="4" borderId="28" xfId="0" applyNumberFormat="1" applyFont="1" applyFill="1" applyBorder="1" applyAlignment="1">
      <alignment horizontal="left"/>
    </xf>
    <xf numFmtId="4" fontId="3" fillId="4" borderId="31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4" fontId="1" fillId="4" borderId="8" xfId="0" applyNumberFormat="1" applyFont="1" applyFill="1" applyBorder="1"/>
    <xf numFmtId="4" fontId="1" fillId="4" borderId="29" xfId="0" applyNumberFormat="1" applyFont="1" applyFill="1" applyBorder="1"/>
    <xf numFmtId="4" fontId="2" fillId="0" borderId="31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28" xfId="0" applyNumberFormat="1" applyFont="1" applyBorder="1"/>
    <xf numFmtId="4" fontId="1" fillId="4" borderId="25" xfId="0" applyNumberFormat="1" applyFont="1" applyFill="1" applyBorder="1"/>
    <xf numFmtId="4" fontId="4" fillId="4" borderId="28" xfId="0" applyNumberFormat="1" applyFont="1" applyFill="1" applyBorder="1" applyAlignment="1">
      <alignment horizontal="center"/>
    </xf>
    <xf numFmtId="4" fontId="4" fillId="4" borderId="30" xfId="0" applyNumberFormat="1" applyFont="1" applyFill="1" applyBorder="1" applyAlignment="1">
      <alignment horizontal="center"/>
    </xf>
    <xf numFmtId="4" fontId="2" fillId="4" borderId="28" xfId="0" applyNumberFormat="1" applyFont="1" applyFill="1" applyBorder="1" applyAlignment="1">
      <alignment horizontal="center"/>
    </xf>
    <xf numFmtId="4" fontId="1" fillId="4" borderId="31" xfId="0" applyNumberFormat="1" applyFont="1" applyFill="1" applyBorder="1"/>
    <xf numFmtId="4" fontId="1" fillId="4" borderId="26" xfId="0" applyNumberFormat="1" applyFont="1" applyFill="1" applyBorder="1" applyAlignment="1">
      <alignment horizontal="center"/>
    </xf>
    <xf numFmtId="4" fontId="1" fillId="4" borderId="27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4" fontId="3" fillId="4" borderId="28" xfId="0" applyNumberFormat="1" applyFont="1" applyFill="1" applyBorder="1"/>
    <xf numFmtId="4" fontId="1" fillId="4" borderId="30" xfId="0" applyNumberFormat="1" applyFont="1" applyFill="1" applyBorder="1"/>
    <xf numFmtId="4" fontId="1" fillId="4" borderId="28" xfId="0" applyNumberFormat="1" applyFont="1" applyFill="1" applyBorder="1"/>
    <xf numFmtId="4" fontId="1" fillId="4" borderId="26" xfId="0" applyNumberFormat="1" applyFont="1" applyFill="1" applyBorder="1"/>
    <xf numFmtId="3" fontId="1" fillId="0" borderId="26" xfId="0" applyNumberFormat="1" applyFont="1" applyBorder="1" applyAlignment="1">
      <alignment horizontal="center"/>
    </xf>
    <xf numFmtId="4" fontId="2" fillId="0" borderId="26" xfId="0" applyNumberFormat="1" applyFont="1" applyBorder="1"/>
    <xf numFmtId="4" fontId="3" fillId="6" borderId="8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4" fillId="0" borderId="36" xfId="0" applyNumberFormat="1" applyFont="1" applyBorder="1"/>
    <xf numFmtId="4" fontId="4" fillId="0" borderId="3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5" fillId="0" borderId="0" xfId="0" applyNumberFormat="1" applyFont="1"/>
    <xf numFmtId="165" fontId="4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167" fontId="2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3" fillId="4" borderId="25" xfId="0" applyNumberFormat="1" applyFont="1" applyFill="1" applyBorder="1" applyAlignment="1">
      <alignment horizontal="center"/>
    </xf>
    <xf numFmtId="4" fontId="3" fillId="4" borderId="26" xfId="0" applyNumberFormat="1" applyFont="1" applyFill="1" applyBorder="1" applyAlignment="1">
      <alignment horizontal="center"/>
    </xf>
    <xf numFmtId="4" fontId="3" fillId="4" borderId="27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Principales magnitudes</a:t>
            </a:r>
          </a:p>
        </c:rich>
      </c:tx>
      <c:layout>
        <c:manualLayout>
          <c:xMode val="edge"/>
          <c:yMode val="edge"/>
          <c:x val="0.10764978733043512"/>
          <c:y val="9.667673716012083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[1]resumen!$D$3</c:f>
              <c:strCache>
                <c:ptCount val="1"/>
                <c:pt idx="0">
                  <c:v>Sixt S.L</c:v>
                </c:pt>
              </c:strCache>
            </c:strRef>
          </c:tx>
          <c:cat>
            <c:strRef>
              <c:f>[1]resumen!$C$6:$C$10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[1]resumen!$D$6:$D$10</c:f>
              <c:numCache>
                <c:formatCode>General</c:formatCode>
                <c:ptCount val="5"/>
                <c:pt idx="0">
                  <c:v>1.6708054822050189</c:v>
                </c:pt>
                <c:pt idx="1">
                  <c:v>1.3214212570517005</c:v>
                </c:pt>
                <c:pt idx="2">
                  <c:v>30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[1]resumen!$E$3</c:f>
              <c:strCache>
                <c:ptCount val="1"/>
                <c:pt idx="0">
                  <c:v>AutoClick, S.A</c:v>
                </c:pt>
              </c:strCache>
            </c:strRef>
          </c:tx>
          <c:cat>
            <c:strRef>
              <c:f>[1]resumen!$C$6:$C$10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[1]resumen!$E$6:$E$10</c:f>
              <c:numCache>
                <c:formatCode>General</c:formatCode>
                <c:ptCount val="5"/>
                <c:pt idx="0">
                  <c:v>0.62957963087328028</c:v>
                </c:pt>
                <c:pt idx="1">
                  <c:v>10.050690232989657</c:v>
                </c:pt>
                <c:pt idx="2">
                  <c:v>4.0882672280482204</c:v>
                </c:pt>
                <c:pt idx="3">
                  <c:v>5.16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tx>
            <c:strRef>
              <c:f>[1]resumen!$F$3</c:f>
              <c:strCache>
                <c:ptCount val="1"/>
                <c:pt idx="0">
                  <c:v>HyperRent, S.A.</c:v>
                </c:pt>
              </c:strCache>
            </c:strRef>
          </c:tx>
          <c:cat>
            <c:strRef>
              <c:f>[1]resumen!$C$6:$C$10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[1]resumen!$F$6:$F$10</c:f>
              <c:numCache>
                <c:formatCode>General</c:formatCode>
                <c:ptCount val="5"/>
                <c:pt idx="0">
                  <c:v>1.5655104743141381</c:v>
                </c:pt>
                <c:pt idx="1">
                  <c:v>1.3250651097677291</c:v>
                </c:pt>
                <c:pt idx="2">
                  <c:v>18</c:v>
                </c:pt>
                <c:pt idx="3">
                  <c:v>7.0000000000000009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[1]resumen!$G$3</c:f>
              <c:strCache>
                <c:ptCount val="1"/>
                <c:pt idx="0">
                  <c:v>Autos Veny, S.A.</c:v>
                </c:pt>
              </c:strCache>
            </c:strRef>
          </c:tx>
          <c:cat>
            <c:strRef>
              <c:f>[1]resumen!$C$6:$C$10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[1]resumen!$G$6:$G$10</c:f>
              <c:numCache>
                <c:formatCode>General</c:formatCode>
                <c:ptCount val="5"/>
                <c:pt idx="0">
                  <c:v>0.13</c:v>
                </c:pt>
                <c:pt idx="1">
                  <c:v>1.55</c:v>
                </c:pt>
                <c:pt idx="2">
                  <c:v>-14.000000000000002</c:v>
                </c:pt>
                <c:pt idx="3">
                  <c:v>-4</c:v>
                </c:pt>
                <c:pt idx="4">
                  <c:v>-14.000000000000002</c:v>
                </c:pt>
              </c:numCache>
            </c:numRef>
          </c:val>
        </c:ser>
        <c:axId val="108968960"/>
        <c:axId val="111121152"/>
      </c:barChart>
      <c:catAx>
        <c:axId val="108968960"/>
        <c:scaling>
          <c:orientation val="minMax"/>
        </c:scaling>
        <c:axPos val="b"/>
        <c:tickLblPos val="nextTo"/>
        <c:crossAx val="111121152"/>
        <c:crosses val="autoZero"/>
        <c:auto val="1"/>
        <c:lblAlgn val="ctr"/>
        <c:lblOffset val="100"/>
      </c:catAx>
      <c:valAx>
        <c:axId val="111121152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General" sourceLinked="1"/>
        <c:tickLblPos val="nextTo"/>
        <c:crossAx val="108968960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</c:legend>
    <c:plotVisOnly val="1"/>
    <c:dispBlanksAs val="gap"/>
  </c:chart>
  <c:spPr>
    <a:effectLst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Fondo de maniobra en miles de euros</a:t>
            </a:r>
          </a:p>
        </c:rich>
      </c:tx>
      <c:layout>
        <c:manualLayout>
          <c:xMode val="edge"/>
          <c:yMode val="edge"/>
          <c:x val="0.10112489063867022"/>
          <c:y val="3.703703703703705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[1]resumen!$C$4</c:f>
              <c:strCache>
                <c:ptCount val="1"/>
                <c:pt idx="0">
                  <c:v>fondo de maniobra</c:v>
                </c:pt>
              </c:strCache>
            </c:strRef>
          </c:tx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cat>
            <c:strRef>
              <c:f>[1]resumen!$D$3:$G$3</c:f>
              <c:strCache>
                <c:ptCount val="4"/>
                <c:pt idx="0">
                  <c:v>Sixt S.L</c:v>
                </c:pt>
                <c:pt idx="1">
                  <c:v>AutoClick, S.A</c:v>
                </c:pt>
                <c:pt idx="2">
                  <c:v>HyperRent, S.A.</c:v>
                </c:pt>
                <c:pt idx="3">
                  <c:v>Autos Veny, S.A.</c:v>
                </c:pt>
              </c:strCache>
            </c:strRef>
          </c:cat>
          <c:val>
            <c:numRef>
              <c:f>[1]resumen!$D$4:$G$4</c:f>
              <c:numCache>
                <c:formatCode>General</c:formatCode>
                <c:ptCount val="4"/>
                <c:pt idx="0">
                  <c:v>51297.784</c:v>
                </c:pt>
                <c:pt idx="1">
                  <c:v>3742.0140000000001</c:v>
                </c:pt>
                <c:pt idx="2">
                  <c:v>2336.3150000000001</c:v>
                </c:pt>
                <c:pt idx="3">
                  <c:v>-265.73099999999999</c:v>
                </c:pt>
              </c:numCache>
            </c:numRef>
          </c:val>
        </c:ser>
        <c:axId val="110692224"/>
        <c:axId val="110693760"/>
      </c:barChart>
      <c:catAx>
        <c:axId val="110692224"/>
        <c:scaling>
          <c:orientation val="minMax"/>
        </c:scaling>
        <c:axPos val="b"/>
        <c:tickLblPos val="nextTo"/>
        <c:crossAx val="110693760"/>
        <c:crosses val="autoZero"/>
        <c:auto val="1"/>
        <c:lblAlgn val="ctr"/>
        <c:lblOffset val="100"/>
      </c:catAx>
      <c:valAx>
        <c:axId val="110693760"/>
        <c:scaling>
          <c:logBase val="10"/>
          <c:orientation val="minMax"/>
        </c:scaling>
        <c:axPos val="l"/>
        <c:majorGridlines>
          <c:spPr>
            <a:ln>
              <a:noFill/>
            </a:ln>
          </c:spPr>
        </c:majorGridlines>
        <c:numFmt formatCode="General" sourceLinked="1"/>
        <c:tickLblPos val="nextTo"/>
        <c:crossAx val="110692224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4466539066149536"/>
          <c:y val="2.8154646759120511E-2"/>
          <c:w val="0.67788444252687707"/>
          <c:h val="0.59897265436976077"/>
        </c:manualLayout>
      </c:layout>
      <c:barChart>
        <c:barDir val="col"/>
        <c:grouping val="clustered"/>
        <c:ser>
          <c:idx val="0"/>
          <c:order val="0"/>
          <c:tx>
            <c:strRef>
              <c:f>[1]datos!$D$3</c:f>
              <c:strCache>
                <c:ptCount val="1"/>
                <c:pt idx="0">
                  <c:v>Europcar S.A</c:v>
                </c:pt>
              </c:strCache>
            </c:strRef>
          </c:tx>
          <c:cat>
            <c:strRef>
              <c:f>[1]datos!$C$6:$C$10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[1]datos!$D$6:$D$10</c:f>
              <c:numCache>
                <c:formatCode>General</c:formatCode>
                <c:ptCount val="5"/>
                <c:pt idx="0">
                  <c:v>0.81</c:v>
                </c:pt>
                <c:pt idx="1">
                  <c:v>1.91</c:v>
                </c:pt>
                <c:pt idx="2">
                  <c:v>5</c:v>
                </c:pt>
                <c:pt idx="3">
                  <c:v>12</c:v>
                </c:pt>
                <c:pt idx="4">
                  <c:v>14.000000000000002</c:v>
                </c:pt>
              </c:numCache>
            </c:numRef>
          </c:val>
        </c:ser>
        <c:ser>
          <c:idx val="1"/>
          <c:order val="1"/>
          <c:tx>
            <c:strRef>
              <c:f>[1]datos!$E$3</c:f>
              <c:strCache>
                <c:ptCount val="1"/>
                <c:pt idx="0">
                  <c:v>Hertz  S.L</c:v>
                </c:pt>
              </c:strCache>
            </c:strRef>
          </c:tx>
          <c:cat>
            <c:strRef>
              <c:f>[1]datos!$C$6:$C$10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[1]datos!$E$6:$E$10</c:f>
              <c:numCache>
                <c:formatCode>General</c:formatCode>
                <c:ptCount val="5"/>
                <c:pt idx="0">
                  <c:v>2.31</c:v>
                </c:pt>
                <c:pt idx="1">
                  <c:v>8.65</c:v>
                </c:pt>
                <c:pt idx="2">
                  <c:v>15</c:v>
                </c:pt>
                <c:pt idx="3">
                  <c:v>10</c:v>
                </c:pt>
                <c:pt idx="4">
                  <c:v>69</c:v>
                </c:pt>
              </c:numCache>
            </c:numRef>
          </c:val>
        </c:ser>
        <c:ser>
          <c:idx val="2"/>
          <c:order val="2"/>
          <c:tx>
            <c:strRef>
              <c:f>[1]datos!$F$3</c:f>
              <c:strCache>
                <c:ptCount val="1"/>
                <c:pt idx="0">
                  <c:v>Avis S.A</c:v>
                </c:pt>
              </c:strCache>
            </c:strRef>
          </c:tx>
          <c:cat>
            <c:strRef>
              <c:f>[1]datos!$C$6:$C$10</c:f>
              <c:strCache>
                <c:ptCount val="5"/>
                <c:pt idx="0">
                  <c:v>ratio de prueba ácida</c:v>
                </c:pt>
                <c:pt idx="1">
                  <c:v>ratio de endeudamiento</c:v>
                </c:pt>
                <c:pt idx="2">
                  <c:v>margen EBIT/Ventas</c:v>
                </c:pt>
                <c:pt idx="3">
                  <c:v>rentabilidad operativa (ROI)</c:v>
                </c:pt>
                <c:pt idx="4">
                  <c:v>rentabilidad financiera (ROE)</c:v>
                </c:pt>
              </c:strCache>
            </c:strRef>
          </c:cat>
          <c:val>
            <c:numRef>
              <c:f>[1]datos!$F$6:$F$10</c:f>
              <c:numCache>
                <c:formatCode>General</c:formatCode>
                <c:ptCount val="5"/>
                <c:pt idx="0">
                  <c:v>0.54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110744704"/>
        <c:axId val="110746240"/>
      </c:barChart>
      <c:catAx>
        <c:axId val="110744704"/>
        <c:scaling>
          <c:orientation val="minMax"/>
        </c:scaling>
        <c:axPos val="b"/>
        <c:tickLblPos val="nextTo"/>
        <c:spPr>
          <a:ln>
            <a:solidFill>
              <a:schemeClr val="tx1"/>
            </a:solidFill>
          </a:ln>
        </c:spPr>
        <c:crossAx val="110746240"/>
        <c:crosses val="autoZero"/>
        <c:auto val="1"/>
        <c:lblAlgn val="ctr"/>
        <c:lblOffset val="100"/>
      </c:catAx>
      <c:valAx>
        <c:axId val="110746240"/>
        <c:scaling>
          <c:orientation val="minMax"/>
          <c:max val="100"/>
          <c:min val="-40"/>
        </c:scaling>
        <c:axPos val="l"/>
        <c:numFmt formatCode="General" sourceLinked="1"/>
        <c:tickLblPos val="nextTo"/>
        <c:crossAx val="110744704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08329548755675"/>
          <c:y val="0.37947234104387523"/>
          <c:w val="0.18916704512443236"/>
          <c:h val="0.25028253821213525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12</xdr:row>
      <xdr:rowOff>28575</xdr:rowOff>
    </xdr:from>
    <xdr:to>
      <xdr:col>8</xdr:col>
      <xdr:colOff>571500</xdr:colOff>
      <xdr:row>32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12</xdr:row>
      <xdr:rowOff>19050</xdr:rowOff>
    </xdr:from>
    <xdr:to>
      <xdr:col>15</xdr:col>
      <xdr:colOff>285750</xdr:colOff>
      <xdr:row>30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11</xdr:row>
      <xdr:rowOff>123824</xdr:rowOff>
    </xdr:from>
    <xdr:to>
      <xdr:col>6</xdr:col>
      <xdr:colOff>314326</xdr:colOff>
      <xdr:row>29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0.14677</cdr:x>
      <cdr:y>0.05536</cdr:y>
    </cdr:from>
    <cdr:to>
      <cdr:x>0.53632</cdr:x>
      <cdr:y>0.14617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14375" y="152400"/>
          <a:ext cx="1896020" cy="24995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a/Downloads/resumen%20an&#225;lisis%20(5)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atos"/>
      <sheetName val="Hoja3"/>
    </sheetNames>
    <sheetDataSet>
      <sheetData sheetId="0">
        <row r="3">
          <cell r="D3" t="str">
            <v>Sixt S.L</v>
          </cell>
          <cell r="E3" t="str">
            <v>AutoClick, S.A</v>
          </cell>
          <cell r="F3" t="str">
            <v>HyperRent, S.A.</v>
          </cell>
          <cell r="G3" t="str">
            <v>Autos Veny, S.A.</v>
          </cell>
        </row>
        <row r="4">
          <cell r="C4" t="str">
            <v>fondo de maniobra</v>
          </cell>
          <cell r="D4">
            <v>51297.784</v>
          </cell>
          <cell r="E4">
            <v>3742.0140000000001</v>
          </cell>
          <cell r="F4">
            <v>2336.3150000000001</v>
          </cell>
          <cell r="G4">
            <v>-265.73099999999999</v>
          </cell>
        </row>
        <row r="6">
          <cell r="C6" t="str">
            <v>ratio de prueba ácida</v>
          </cell>
          <cell r="D6">
            <v>1.6708054822050189</v>
          </cell>
          <cell r="E6">
            <v>0.62957963087328028</v>
          </cell>
          <cell r="F6">
            <v>1.5655104743141381</v>
          </cell>
          <cell r="G6">
            <v>0.13</v>
          </cell>
        </row>
        <row r="7">
          <cell r="C7" t="str">
            <v>ratio de endeudamiento</v>
          </cell>
          <cell r="D7">
            <v>1.3214212570517005</v>
          </cell>
          <cell r="E7">
            <v>10.050690232989657</v>
          </cell>
          <cell r="F7">
            <v>1.3250651097677291</v>
          </cell>
          <cell r="G7">
            <v>1.55</v>
          </cell>
        </row>
        <row r="8">
          <cell r="C8" t="str">
            <v>margen EBIT/Ventas</v>
          </cell>
          <cell r="D8">
            <v>30</v>
          </cell>
          <cell r="E8">
            <v>4.0882672280482204</v>
          </cell>
          <cell r="F8">
            <v>18</v>
          </cell>
          <cell r="G8">
            <v>-14.000000000000002</v>
          </cell>
        </row>
        <row r="9">
          <cell r="C9" t="str">
            <v>rentabilidad operativa (ROI)</v>
          </cell>
          <cell r="D9">
            <v>22</v>
          </cell>
          <cell r="E9">
            <v>5.16</v>
          </cell>
          <cell r="F9">
            <v>7.0000000000000009</v>
          </cell>
          <cell r="G9">
            <v>-4</v>
          </cell>
        </row>
        <row r="10">
          <cell r="C10" t="str">
            <v>rentabilidad financiera (ROE)</v>
          </cell>
          <cell r="D10">
            <v>30</v>
          </cell>
          <cell r="E10">
            <v>27</v>
          </cell>
          <cell r="F10">
            <v>19</v>
          </cell>
          <cell r="G10">
            <v>-14.000000000000002</v>
          </cell>
        </row>
      </sheetData>
      <sheetData sheetId="1">
        <row r="3">
          <cell r="D3" t="str">
            <v>Europcar S.A</v>
          </cell>
          <cell r="E3" t="str">
            <v>Hertz  S.L</v>
          </cell>
          <cell r="F3" t="str">
            <v>Avis S.A</v>
          </cell>
        </row>
        <row r="6">
          <cell r="C6" t="str">
            <v>ratio de prueba ácida</v>
          </cell>
          <cell r="D6">
            <v>0.81</v>
          </cell>
          <cell r="E6">
            <v>2.31</v>
          </cell>
          <cell r="F6">
            <v>0.54</v>
          </cell>
        </row>
        <row r="7">
          <cell r="C7" t="str">
            <v>ratio de endeudamiento</v>
          </cell>
          <cell r="D7">
            <v>1.91</v>
          </cell>
          <cell r="E7">
            <v>8.65</v>
          </cell>
          <cell r="F7" t="str">
            <v>*</v>
          </cell>
        </row>
        <row r="8">
          <cell r="C8" t="str">
            <v>margen EBIT/Ventas</v>
          </cell>
          <cell r="D8">
            <v>5</v>
          </cell>
          <cell r="E8">
            <v>15</v>
          </cell>
          <cell r="F8">
            <v>2</v>
          </cell>
        </row>
        <row r="9">
          <cell r="C9" t="str">
            <v>rentabilidad operativa (ROI)</v>
          </cell>
          <cell r="D9">
            <v>12</v>
          </cell>
          <cell r="E9">
            <v>10</v>
          </cell>
          <cell r="F9">
            <v>3</v>
          </cell>
        </row>
        <row r="10">
          <cell r="C10" t="str">
            <v>rentabilidad financiera (ROE)</v>
          </cell>
          <cell r="D10">
            <v>14.000000000000002</v>
          </cell>
          <cell r="E10">
            <v>69</v>
          </cell>
          <cell r="F10" t="str">
            <v>*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13"/>
  <sheetViews>
    <sheetView topLeftCell="G14" workbookViewId="0">
      <selection activeCell="R45" sqref="R45"/>
    </sheetView>
  </sheetViews>
  <sheetFormatPr baseColWidth="10" defaultRowHeight="12"/>
  <cols>
    <col min="1" max="1" width="2.140625" style="1" customWidth="1"/>
    <col min="2" max="2" width="13.7109375" style="1" customWidth="1"/>
    <col min="3" max="3" width="19.7109375" style="1" bestFit="1" customWidth="1"/>
    <col min="4" max="4" width="12.28515625" style="1" bestFit="1" customWidth="1"/>
    <col min="5" max="5" width="2.28515625" style="29" customWidth="1"/>
    <col min="6" max="6" width="17" style="1" customWidth="1"/>
    <col min="7" max="7" width="11.85546875" style="29" customWidth="1"/>
    <col min="8" max="8" width="11.42578125" style="1"/>
    <col min="9" max="9" width="3.42578125" style="1" customWidth="1"/>
    <col min="10" max="10" width="27.28515625" style="1" bestFit="1" customWidth="1"/>
    <col min="11" max="11" width="17.42578125" style="1" bestFit="1" customWidth="1"/>
    <col min="12" max="12" width="2.28515625" style="29" customWidth="1"/>
    <col min="13" max="13" width="11.42578125" style="1"/>
    <col min="14" max="14" width="2.28515625" style="29" customWidth="1"/>
    <col min="15" max="15" width="11.42578125" style="1"/>
    <col min="16" max="16" width="2.140625" style="1" customWidth="1"/>
    <col min="17" max="17" width="29.140625" style="1" customWidth="1"/>
    <col min="18" max="18" width="14.7109375" style="1" customWidth="1"/>
    <col min="19" max="16384" width="11.42578125" style="1"/>
  </cols>
  <sheetData>
    <row r="3" spans="3:20">
      <c r="D3" s="269" t="s">
        <v>669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453</v>
      </c>
      <c r="G4" s="30"/>
      <c r="H4" s="7" t="s">
        <v>583</v>
      </c>
      <c r="J4" s="8" t="s">
        <v>454</v>
      </c>
      <c r="K4" s="7" t="s">
        <v>452</v>
      </c>
      <c r="L4" s="30"/>
      <c r="M4" s="7" t="s">
        <v>453</v>
      </c>
      <c r="N4" s="30"/>
      <c r="O4" s="7" t="s">
        <v>583</v>
      </c>
      <c r="Q4" s="7" t="s">
        <v>620</v>
      </c>
      <c r="R4" s="7" t="str">
        <f>+O4</f>
        <v>año 2013</v>
      </c>
      <c r="S4" s="7" t="str">
        <f>+M4</f>
        <v>año 2014</v>
      </c>
      <c r="T4" s="7" t="str">
        <f>+K4</f>
        <v>año 2015</v>
      </c>
    </row>
    <row r="5" spans="3:20">
      <c r="C5" s="8" t="s">
        <v>455</v>
      </c>
      <c r="D5" s="10">
        <f>+SUM(D6:D8)</f>
        <v>6581728</v>
      </c>
      <c r="F5" s="9">
        <f>+SUM(F6:F8)</f>
        <v>6133025</v>
      </c>
      <c r="H5" s="9">
        <f>+SUM(H6:H8)</f>
        <v>6028404</v>
      </c>
      <c r="J5" s="8" t="s">
        <v>456</v>
      </c>
      <c r="K5" s="25">
        <f>+K6</f>
        <v>57802014</v>
      </c>
      <c r="M5" s="25">
        <f>+M6</f>
        <v>37966321</v>
      </c>
      <c r="O5" s="25">
        <f>+O6</f>
        <v>24212031</v>
      </c>
      <c r="Q5" s="9" t="s">
        <v>457</v>
      </c>
      <c r="R5" s="6">
        <f>+O5+O10-H5</f>
        <v>18338888</v>
      </c>
      <c r="S5" s="6">
        <f>+M6+M10-F5</f>
        <v>31948740</v>
      </c>
      <c r="T5" s="7">
        <f>+K5+K10-D5</f>
        <v>51297784</v>
      </c>
    </row>
    <row r="6" spans="3:20">
      <c r="C6" s="6" t="s">
        <v>458</v>
      </c>
      <c r="D6" s="7" t="s">
        <v>670</v>
      </c>
      <c r="F6" s="7" t="s">
        <v>670</v>
      </c>
      <c r="H6" s="7" t="s">
        <v>670</v>
      </c>
      <c r="J6" s="9" t="s">
        <v>459</v>
      </c>
      <c r="K6" s="10">
        <v>57802014</v>
      </c>
      <c r="M6" s="10">
        <f>+M7+M8</f>
        <v>37966321</v>
      </c>
      <c r="O6" s="10">
        <f>+O7+O8</f>
        <v>24212031</v>
      </c>
      <c r="Q6" s="3"/>
    </row>
    <row r="7" spans="3:20">
      <c r="C7" s="6" t="s">
        <v>461</v>
      </c>
      <c r="D7" s="7">
        <v>6156288</v>
      </c>
      <c r="F7" s="7">
        <v>5640842</v>
      </c>
      <c r="H7" s="6">
        <v>5444731</v>
      </c>
      <c r="J7" s="6" t="s">
        <v>462</v>
      </c>
      <c r="K7" s="7">
        <v>131000</v>
      </c>
      <c r="M7" s="6">
        <v>131000</v>
      </c>
      <c r="O7" s="7">
        <v>131000</v>
      </c>
      <c r="Q7" s="6" t="s">
        <v>671</v>
      </c>
    </row>
    <row r="8" spans="3:20">
      <c r="C8" s="6" t="s">
        <v>464</v>
      </c>
      <c r="D8" s="7">
        <v>425440</v>
      </c>
      <c r="F8" s="7">
        <v>492183</v>
      </c>
      <c r="H8" s="7">
        <v>583673</v>
      </c>
      <c r="J8" s="6" t="s">
        <v>465</v>
      </c>
      <c r="K8" s="7">
        <v>57671014</v>
      </c>
      <c r="M8" s="6">
        <v>37835321</v>
      </c>
      <c r="O8" s="7">
        <v>24081031</v>
      </c>
      <c r="Q8" s="6" t="s">
        <v>625</v>
      </c>
    </row>
    <row r="9" spans="3:20">
      <c r="Q9" s="6" t="s">
        <v>626</v>
      </c>
    </row>
    <row r="10" spans="3:20">
      <c r="J10" s="8" t="s">
        <v>468</v>
      </c>
      <c r="K10" s="25">
        <f>+K11+K12</f>
        <v>77498</v>
      </c>
      <c r="M10" s="25">
        <f>+M11+M12</f>
        <v>115444</v>
      </c>
      <c r="O10" s="25">
        <f>+O11+O12</f>
        <v>155261</v>
      </c>
      <c r="Q10" s="6" t="s">
        <v>627</v>
      </c>
    </row>
    <row r="11" spans="3:20">
      <c r="C11" s="8" t="s">
        <v>469</v>
      </c>
      <c r="D11" s="10">
        <f>+SUM(D12:D15)</f>
        <v>127601096</v>
      </c>
      <c r="F11" s="10">
        <f>+SUM(F12:F15)</f>
        <v>105897584</v>
      </c>
      <c r="H11" s="10">
        <f>+SUM(H12:H15)</f>
        <v>86009077</v>
      </c>
      <c r="J11" s="6" t="s">
        <v>470</v>
      </c>
      <c r="K11" s="7"/>
      <c r="M11" s="7"/>
      <c r="O11" s="7"/>
      <c r="Q11" s="6" t="s">
        <v>628</v>
      </c>
    </row>
    <row r="12" spans="3:20">
      <c r="C12" s="6" t="s">
        <v>472</v>
      </c>
      <c r="D12" s="7">
        <v>113104</v>
      </c>
      <c r="F12" s="7">
        <v>253015</v>
      </c>
      <c r="H12" s="7">
        <v>95605</v>
      </c>
      <c r="J12" s="6" t="s">
        <v>473</v>
      </c>
      <c r="K12" s="7">
        <v>77498</v>
      </c>
      <c r="M12" s="7">
        <v>115444</v>
      </c>
      <c r="O12" s="7">
        <v>155261</v>
      </c>
      <c r="Q12" s="6" t="s">
        <v>629</v>
      </c>
    </row>
    <row r="13" spans="3:20">
      <c r="C13" s="6" t="s">
        <v>475</v>
      </c>
      <c r="D13" s="7"/>
      <c r="Q13" s="6" t="s">
        <v>630</v>
      </c>
    </row>
    <row r="14" spans="3:20">
      <c r="C14" s="6" t="s">
        <v>477</v>
      </c>
      <c r="D14" s="7">
        <v>16389579</v>
      </c>
      <c r="F14" s="7">
        <v>15129111</v>
      </c>
      <c r="H14" s="7">
        <v>35496708</v>
      </c>
      <c r="J14" s="8" t="s">
        <v>478</v>
      </c>
      <c r="K14" s="25">
        <f>+K15+K17</f>
        <v>76303312</v>
      </c>
      <c r="M14" s="25">
        <f>+M15+M17</f>
        <v>73948844</v>
      </c>
      <c r="O14" s="25">
        <f>+O15+O17</f>
        <v>67670189</v>
      </c>
      <c r="Q14" s="6"/>
    </row>
    <row r="15" spans="3:20">
      <c r="C15" s="6" t="s">
        <v>479</v>
      </c>
      <c r="D15" s="7">
        <v>111098413</v>
      </c>
      <c r="F15" s="7">
        <v>90515458</v>
      </c>
      <c r="H15" s="7">
        <v>50416764</v>
      </c>
      <c r="J15" s="9" t="s">
        <v>480</v>
      </c>
      <c r="K15" s="10"/>
      <c r="M15" s="10"/>
      <c r="O15" s="10"/>
      <c r="Q15" s="6"/>
    </row>
    <row r="16" spans="3:20">
      <c r="J16" s="6" t="s">
        <v>482</v>
      </c>
      <c r="K16" s="7"/>
      <c r="M16" s="7"/>
      <c r="O16" s="7"/>
      <c r="Q16" s="6"/>
    </row>
    <row r="17" spans="2:20">
      <c r="J17" s="9" t="s">
        <v>484</v>
      </c>
      <c r="K17" s="10">
        <f>+K18+K19</f>
        <v>76303312</v>
      </c>
      <c r="M17" s="10">
        <f>+M18+M19</f>
        <v>73948844</v>
      </c>
      <c r="O17" s="10">
        <f>+O18+O19</f>
        <v>67670189</v>
      </c>
      <c r="Q17" s="6"/>
    </row>
    <row r="18" spans="2:20">
      <c r="F18" s="29"/>
      <c r="H18" s="29"/>
      <c r="J18" s="6" t="s">
        <v>485</v>
      </c>
      <c r="K18" s="7">
        <v>19819849</v>
      </c>
      <c r="M18" s="7">
        <v>15776470</v>
      </c>
      <c r="O18" s="7">
        <v>10402814</v>
      </c>
      <c r="Q18" s="6"/>
    </row>
    <row r="19" spans="2:20">
      <c r="J19" s="6" t="s">
        <v>486</v>
      </c>
      <c r="K19" s="7">
        <v>56483463</v>
      </c>
      <c r="M19" s="1">
        <v>58172374</v>
      </c>
      <c r="O19" s="1">
        <v>57267375</v>
      </c>
      <c r="Q19" s="6"/>
    </row>
    <row r="20" spans="2:20" ht="12.75" thickBot="1">
      <c r="Q20" s="6"/>
    </row>
    <row r="21" spans="2:20" ht="13.5" thickTop="1" thickBot="1">
      <c r="C21" s="25" t="s">
        <v>487</v>
      </c>
      <c r="D21" s="255">
        <f>+D11+D5</f>
        <v>134182824</v>
      </c>
      <c r="F21" s="256">
        <f>+F11+F5</f>
        <v>112030609</v>
      </c>
      <c r="H21" s="255">
        <f>+H11+H5</f>
        <v>92037481</v>
      </c>
      <c r="J21" s="8" t="s">
        <v>488</v>
      </c>
      <c r="K21" s="255">
        <f>+K14+K10+K5</f>
        <v>134182824</v>
      </c>
      <c r="M21" s="255">
        <f>+M14+M10+M5</f>
        <v>112030609</v>
      </c>
      <c r="O21" s="255">
        <f>+O14+O10+O5</f>
        <v>92037481</v>
      </c>
      <c r="Q21" s="6"/>
    </row>
    <row r="22" spans="2:20" ht="12.75" thickTop="1">
      <c r="Q22" s="6"/>
    </row>
    <row r="23" spans="2:20">
      <c r="Q23" s="6"/>
    </row>
    <row r="24" spans="2:20">
      <c r="Q24" s="6"/>
    </row>
    <row r="25" spans="2:20">
      <c r="B25" s="6" t="s">
        <v>489</v>
      </c>
      <c r="Q25" s="6"/>
    </row>
    <row r="26" spans="2:20">
      <c r="B26" s="6" t="s">
        <v>490</v>
      </c>
    </row>
    <row r="27" spans="2:20">
      <c r="B27" s="6" t="s">
        <v>634</v>
      </c>
      <c r="J27" s="23"/>
      <c r="Q27" s="8" t="s">
        <v>492</v>
      </c>
    </row>
    <row r="28" spans="2:20">
      <c r="J28" s="23"/>
    </row>
    <row r="29" spans="2:20">
      <c r="F29" s="7" t="s">
        <v>452</v>
      </c>
      <c r="H29" s="7" t="s">
        <v>453</v>
      </c>
      <c r="J29" s="7" t="s">
        <v>583</v>
      </c>
      <c r="R29" s="7" t="s">
        <v>583</v>
      </c>
      <c r="S29" s="7" t="s">
        <v>453</v>
      </c>
      <c r="T29" s="7" t="str">
        <f>+T4</f>
        <v>año 2015</v>
      </c>
    </row>
    <row r="30" spans="2:20">
      <c r="B30" s="6" t="s">
        <v>493</v>
      </c>
      <c r="F30" s="7">
        <v>98707516</v>
      </c>
      <c r="H30" s="24">
        <v>83454584</v>
      </c>
      <c r="J30" s="7">
        <v>74437767</v>
      </c>
      <c r="Q30" s="7" t="s">
        <v>494</v>
      </c>
      <c r="R30" s="7">
        <f>+H11/O14</f>
        <v>1.2710039423711377</v>
      </c>
      <c r="S30" s="7">
        <f>+F11/M14</f>
        <v>1.4320383967057011</v>
      </c>
      <c r="T30" s="7">
        <f>+(D11/K14)</f>
        <v>1.6722877769709394</v>
      </c>
    </row>
    <row r="31" spans="2:20">
      <c r="B31" s="6"/>
      <c r="F31" s="7"/>
      <c r="H31" s="24"/>
      <c r="J31" s="7"/>
      <c r="Q31" s="7" t="s">
        <v>495</v>
      </c>
      <c r="R31" s="7">
        <f>+(H11-H12)/O14</f>
        <v>1.2695911341403228</v>
      </c>
      <c r="S31" s="7">
        <f>+(F11-F12)/M14</f>
        <v>1.4286169098194421</v>
      </c>
      <c r="T31" s="7">
        <f>+(D11-D12)/K14</f>
        <v>1.6708054822050189</v>
      </c>
    </row>
    <row r="32" spans="2:20">
      <c r="B32" s="6"/>
      <c r="F32" s="7"/>
      <c r="H32" s="24"/>
      <c r="J32" s="7"/>
      <c r="Q32" s="7" t="s">
        <v>496</v>
      </c>
      <c r="R32" s="7">
        <f>+H15/O14</f>
        <v>0.74503654777733808</v>
      </c>
      <c r="S32" s="7">
        <f>+F15/M14</f>
        <v>1.2240280321352961</v>
      </c>
      <c r="T32" s="7">
        <f>+D15/K14</f>
        <v>1.4560103629577705</v>
      </c>
    </row>
    <row r="33" spans="2:20">
      <c r="B33" s="6"/>
      <c r="F33" s="7"/>
      <c r="H33" s="24"/>
      <c r="J33" s="7"/>
      <c r="Q33" s="7"/>
      <c r="R33" s="7"/>
      <c r="S33" s="7"/>
      <c r="T33" s="7"/>
    </row>
    <row r="34" spans="2:20">
      <c r="F34" s="23"/>
      <c r="H34" s="236"/>
      <c r="J34" s="23"/>
      <c r="Q34" s="6"/>
    </row>
    <row r="35" spans="2:20">
      <c r="B35" s="9" t="s">
        <v>498</v>
      </c>
      <c r="F35" s="10">
        <v>32193701</v>
      </c>
      <c r="H35" s="261">
        <v>25109201</v>
      </c>
      <c r="J35" s="10">
        <v>25946725</v>
      </c>
      <c r="Q35" s="6" t="s">
        <v>672</v>
      </c>
    </row>
    <row r="36" spans="2:20">
      <c r="B36" s="9"/>
      <c r="F36" s="10"/>
      <c r="H36" s="261"/>
      <c r="J36" s="10"/>
    </row>
    <row r="37" spans="2:20">
      <c r="B37" s="9" t="s">
        <v>503</v>
      </c>
      <c r="F37" s="7">
        <f>+(F35-F38)*-1</f>
        <v>-2664877</v>
      </c>
      <c r="H37" s="24">
        <f>+(H35-H38)*-1</f>
        <v>-2408322</v>
      </c>
      <c r="J37" s="7">
        <f>+(J35-J38)*-1</f>
        <v>-2327487</v>
      </c>
      <c r="Q37" s="6"/>
    </row>
    <row r="38" spans="2:20">
      <c r="B38" s="9" t="s">
        <v>505</v>
      </c>
      <c r="F38" s="10">
        <v>29528824</v>
      </c>
      <c r="H38" s="261">
        <v>22700879</v>
      </c>
      <c r="J38" s="10">
        <v>23619238</v>
      </c>
      <c r="Q38" s="6"/>
    </row>
    <row r="39" spans="2:20">
      <c r="F39" s="23"/>
      <c r="H39" s="236"/>
      <c r="J39" s="23"/>
    </row>
    <row r="40" spans="2:20">
      <c r="F40" s="23"/>
      <c r="H40" s="236"/>
      <c r="J40" s="23"/>
      <c r="Q40" s="8" t="s">
        <v>512</v>
      </c>
      <c r="R40" s="7" t="s">
        <v>583</v>
      </c>
      <c r="S40" s="7" t="s">
        <v>453</v>
      </c>
      <c r="T40" s="7" t="str">
        <f>+T29</f>
        <v>año 2015</v>
      </c>
    </row>
    <row r="41" spans="2:20">
      <c r="B41" s="6" t="s">
        <v>508</v>
      </c>
      <c r="F41" s="7">
        <v>468976</v>
      </c>
      <c r="H41" s="24">
        <v>8451</v>
      </c>
      <c r="J41" s="7">
        <v>12247</v>
      </c>
      <c r="Q41" s="6" t="s">
        <v>514</v>
      </c>
      <c r="R41" s="7">
        <f>+(O10+O14)/O5</f>
        <v>2.801311876727731</v>
      </c>
      <c r="S41" s="7">
        <f>+(M10+M14)/M5</f>
        <v>1.9507891744369965</v>
      </c>
      <c r="T41" s="10">
        <f>+(K10+K14)/K5</f>
        <v>1.3214212570517005</v>
      </c>
    </row>
    <row r="42" spans="2:20">
      <c r="B42" s="6" t="s">
        <v>510</v>
      </c>
      <c r="F42" s="7">
        <v>-2885684</v>
      </c>
      <c r="H42" s="24">
        <v>-2865035</v>
      </c>
      <c r="J42" s="7">
        <v>-3286940</v>
      </c>
      <c r="Q42" s="6" t="s">
        <v>515</v>
      </c>
      <c r="R42" s="7">
        <f>+(O11+O16)/O5</f>
        <v>0</v>
      </c>
      <c r="S42" s="7">
        <f>+(M10+M16)/M6</f>
        <v>3.040694935914386E-3</v>
      </c>
      <c r="T42" s="10">
        <f>+(K10+K15)/K5</f>
        <v>1.3407491302984702E-3</v>
      </c>
    </row>
    <row r="43" spans="2:20">
      <c r="F43" s="23"/>
      <c r="H43" s="236"/>
      <c r="J43" s="23"/>
      <c r="Q43" s="6" t="s">
        <v>517</v>
      </c>
      <c r="R43" s="7">
        <f>+O5/(O10+O5)</f>
        <v>0.99362830305476701</v>
      </c>
      <c r="S43" s="7">
        <f>+M5/(M10+M5)</f>
        <v>0.99696852286126969</v>
      </c>
      <c r="T43" s="7">
        <f>+(K6/(K6+K10))</f>
        <v>0.99866104607101736</v>
      </c>
    </row>
    <row r="44" spans="2:20">
      <c r="F44" s="23"/>
      <c r="H44" s="236"/>
      <c r="J44" s="23"/>
      <c r="Q44" s="9" t="s">
        <v>518</v>
      </c>
      <c r="R44" s="7">
        <f>+(1-J54)*J42*-1/(O10+O16)</f>
        <v>16.543017528765482</v>
      </c>
      <c r="S44" s="257">
        <f>+(1-H54)*H42*-1/(M10+M16)</f>
        <v>23.954601449290212</v>
      </c>
      <c r="T44" s="42">
        <f>+(1-F54)*F42*-1/(K10+K15)</f>
        <v>27.242203999270835</v>
      </c>
    </row>
    <row r="45" spans="2:20">
      <c r="B45" s="9" t="s">
        <v>513</v>
      </c>
      <c r="F45" s="10">
        <f>+F41+F42</f>
        <v>-2416708</v>
      </c>
      <c r="H45" s="261">
        <f>+H41+H42</f>
        <v>-2856584</v>
      </c>
      <c r="J45" s="10">
        <f>+J41+J42</f>
        <v>-3274693</v>
      </c>
    </row>
    <row r="46" spans="2:20">
      <c r="F46" s="23"/>
      <c r="H46" s="236"/>
      <c r="J46" s="23"/>
      <c r="Q46" s="6"/>
    </row>
    <row r="47" spans="2:20">
      <c r="B47" s="9" t="s">
        <v>516</v>
      </c>
      <c r="F47" s="10">
        <f>+F45+F38</f>
        <v>27112116</v>
      </c>
      <c r="H47" s="261">
        <f>+H45+H38</f>
        <v>19844295</v>
      </c>
      <c r="J47" s="10">
        <f>+J45+J38</f>
        <v>20344545</v>
      </c>
      <c r="Q47" s="6"/>
    </row>
    <row r="48" spans="2:20">
      <c r="F48" s="23"/>
      <c r="H48" s="236"/>
      <c r="J48" s="23"/>
      <c r="Q48" s="6"/>
    </row>
    <row r="49" spans="2:20">
      <c r="B49" s="6" t="s">
        <v>519</v>
      </c>
      <c r="F49" s="7">
        <v>-7276423</v>
      </c>
      <c r="H49" s="24">
        <v>-690005</v>
      </c>
      <c r="J49" s="7">
        <v>-4446881</v>
      </c>
      <c r="Q49" s="6"/>
    </row>
    <row r="50" spans="2:20">
      <c r="F50" s="23"/>
      <c r="H50" s="236"/>
      <c r="J50" s="23"/>
      <c r="Q50" s="6"/>
    </row>
    <row r="51" spans="2:20">
      <c r="B51" s="9" t="s">
        <v>524</v>
      </c>
      <c r="F51" s="10">
        <f>+F47+F49</f>
        <v>19835693</v>
      </c>
      <c r="H51" s="261">
        <f>+H47+H49</f>
        <v>19154290</v>
      </c>
      <c r="J51" s="10">
        <f>+J47+J49</f>
        <v>15897664</v>
      </c>
      <c r="Q51" s="6"/>
    </row>
    <row r="52" spans="2:20">
      <c r="F52" s="23"/>
      <c r="H52" s="236"/>
      <c r="J52" s="23"/>
      <c r="Q52" s="3"/>
    </row>
    <row r="53" spans="2:20">
      <c r="F53" s="23"/>
      <c r="H53" s="236"/>
      <c r="J53" s="23"/>
      <c r="Q53" s="6"/>
    </row>
    <row r="54" spans="2:20">
      <c r="B54" s="6" t="s">
        <v>528</v>
      </c>
      <c r="F54" s="7">
        <f>-F49/F47</f>
        <v>0.26838270388043484</v>
      </c>
      <c r="H54" s="24">
        <f>-H49/H47</f>
        <v>3.4770950542712654E-2</v>
      </c>
      <c r="J54" s="7">
        <f>-J49/J47</f>
        <v>0.21857854279857328</v>
      </c>
      <c r="Q54" s="3"/>
    </row>
    <row r="55" spans="2:20">
      <c r="B55" s="6"/>
      <c r="F55" s="7"/>
      <c r="H55" s="24"/>
      <c r="J55" s="7"/>
      <c r="Q55" s="6"/>
    </row>
    <row r="56" spans="2:20">
      <c r="B56" s="6"/>
      <c r="F56" s="7"/>
      <c r="H56" s="24"/>
      <c r="J56" s="7"/>
    </row>
    <row r="57" spans="2:20">
      <c r="F57" s="23"/>
      <c r="H57" s="236"/>
      <c r="J57" s="23"/>
      <c r="Q57" s="3"/>
    </row>
    <row r="58" spans="2:20">
      <c r="B58" s="6" t="s">
        <v>604</v>
      </c>
      <c r="F58" s="23"/>
      <c r="H58" s="236"/>
      <c r="J58" s="23"/>
      <c r="Q58" s="6"/>
    </row>
    <row r="59" spans="2:20">
      <c r="F59" s="7" t="s">
        <v>452</v>
      </c>
      <c r="H59" s="24" t="s">
        <v>453</v>
      </c>
      <c r="J59" s="7" t="s">
        <v>583</v>
      </c>
      <c r="Q59" s="6"/>
    </row>
    <row r="60" spans="2:20">
      <c r="B60" s="9" t="s">
        <v>532</v>
      </c>
      <c r="F60" s="23"/>
      <c r="H60" s="236"/>
      <c r="J60" s="23"/>
    </row>
    <row r="61" spans="2:20">
      <c r="B61" s="6" t="s">
        <v>533</v>
      </c>
      <c r="F61" s="7">
        <f>+F38/F30</f>
        <v>0.29915476750524245</v>
      </c>
      <c r="H61" s="24">
        <f>+H38/H30</f>
        <v>0.27201476434176464</v>
      </c>
      <c r="J61" s="7">
        <f>+J38/J30</f>
        <v>0.31730180729360136</v>
      </c>
      <c r="Q61" s="8" t="s">
        <v>605</v>
      </c>
    </row>
    <row r="62" spans="2:20">
      <c r="B62" s="6" t="s">
        <v>534</v>
      </c>
      <c r="F62" s="7">
        <f>+F30/D21</f>
        <v>0.73561960508447788</v>
      </c>
      <c r="H62" s="24">
        <f>+H30/F21</f>
        <v>0.74492662982846058</v>
      </c>
      <c r="J62" s="7">
        <f>+J30/H21</f>
        <v>0.8087766656716735</v>
      </c>
      <c r="R62" s="7" t="s">
        <v>583</v>
      </c>
      <c r="S62" s="7" t="s">
        <v>453</v>
      </c>
      <c r="T62" s="7" t="str">
        <f>+T4</f>
        <v>año 2015</v>
      </c>
    </row>
    <row r="63" spans="2:20">
      <c r="F63" s="23"/>
      <c r="H63" s="236"/>
      <c r="J63" s="23"/>
      <c r="Q63" s="6" t="s">
        <v>535</v>
      </c>
      <c r="R63" s="7">
        <f>+D14</f>
        <v>16389579</v>
      </c>
      <c r="S63" s="7">
        <f>+F14</f>
        <v>15129111</v>
      </c>
      <c r="T63" s="7">
        <f>+D14</f>
        <v>16389579</v>
      </c>
    </row>
    <row r="64" spans="2:20">
      <c r="B64" s="9" t="s">
        <v>536</v>
      </c>
      <c r="F64" s="7">
        <f>+F38/D21</f>
        <v>0.22006411193134526</v>
      </c>
      <c r="H64" s="24">
        <f>+H38/F21</f>
        <v>0.20263104166469362</v>
      </c>
      <c r="J64" s="7">
        <f>+J38/H21</f>
        <v>0.25662629771451478</v>
      </c>
      <c r="Q64" s="6" t="s">
        <v>537</v>
      </c>
      <c r="R64" s="7">
        <f>+D12</f>
        <v>113104</v>
      </c>
      <c r="S64" s="7">
        <f>+F12</f>
        <v>253015</v>
      </c>
      <c r="T64" s="7">
        <f>+D12</f>
        <v>113104</v>
      </c>
    </row>
    <row r="65" spans="2:20">
      <c r="B65" s="6" t="s">
        <v>538</v>
      </c>
      <c r="F65" s="23"/>
      <c r="H65" s="236"/>
      <c r="J65" s="23"/>
      <c r="Q65" s="9" t="s">
        <v>539</v>
      </c>
      <c r="R65" s="10">
        <f>+R63+R64</f>
        <v>16502683</v>
      </c>
      <c r="S65" s="10">
        <f>+S63+S64</f>
        <v>15382126</v>
      </c>
      <c r="T65" s="10">
        <f>+T63+T64</f>
        <v>16502683</v>
      </c>
    </row>
    <row r="66" spans="2:20">
      <c r="B66" s="6" t="s">
        <v>540</v>
      </c>
      <c r="F66" s="23"/>
      <c r="H66" s="236"/>
      <c r="J66" s="23"/>
      <c r="Q66" s="6" t="s">
        <v>485</v>
      </c>
      <c r="R66" s="7">
        <f>+O17</f>
        <v>67670189</v>
      </c>
      <c r="S66" s="7">
        <f>+M17</f>
        <v>73948844</v>
      </c>
      <c r="T66" s="7">
        <f>+K17</f>
        <v>76303312</v>
      </c>
    </row>
    <row r="67" spans="2:20">
      <c r="F67" s="23"/>
      <c r="H67" s="236"/>
      <c r="J67" s="23"/>
      <c r="Q67" s="9" t="s">
        <v>541</v>
      </c>
      <c r="R67" s="10">
        <f>+R66</f>
        <v>67670189</v>
      </c>
      <c r="S67" s="10">
        <f>+S66</f>
        <v>73948844</v>
      </c>
      <c r="T67" s="10">
        <f>+T66</f>
        <v>76303312</v>
      </c>
    </row>
    <row r="68" spans="2:20">
      <c r="B68" s="3"/>
      <c r="F68" s="23"/>
      <c r="H68" s="236"/>
      <c r="J68" s="23"/>
    </row>
    <row r="69" spans="2:20">
      <c r="B69" s="6"/>
      <c r="F69" s="23"/>
      <c r="H69" s="236"/>
      <c r="J69" s="23"/>
      <c r="Q69" s="9" t="s">
        <v>544</v>
      </c>
      <c r="R69" s="7">
        <f>+R65-R67</f>
        <v>-51167506</v>
      </c>
      <c r="S69" s="7">
        <f>+S65-S67</f>
        <v>-58566718</v>
      </c>
      <c r="T69" s="7">
        <f>+T65-T67</f>
        <v>-59800629</v>
      </c>
    </row>
    <row r="70" spans="2:20">
      <c r="B70" s="6"/>
      <c r="F70" s="23"/>
      <c r="H70" s="236"/>
      <c r="J70" s="23"/>
    </row>
    <row r="71" spans="2:20">
      <c r="B71" s="6"/>
      <c r="F71" s="23"/>
      <c r="H71" s="236"/>
      <c r="J71" s="23"/>
      <c r="Q71" s="6" t="s">
        <v>612</v>
      </c>
    </row>
    <row r="72" spans="2:20">
      <c r="F72" s="7" t="s">
        <v>452</v>
      </c>
      <c r="H72" s="24" t="s">
        <v>453</v>
      </c>
      <c r="J72" s="7" t="s">
        <v>583</v>
      </c>
      <c r="Q72" s="6" t="s">
        <v>613</v>
      </c>
    </row>
    <row r="73" spans="2:20">
      <c r="B73" s="8" t="s">
        <v>610</v>
      </c>
      <c r="F73" s="262">
        <f>+F51/K5</f>
        <v>0.34316612220466919</v>
      </c>
      <c r="H73" s="24">
        <f>+H51/M5</f>
        <v>0.50450740275835526</v>
      </c>
      <c r="J73" s="7">
        <f>+J51/O5</f>
        <v>0.65660183567417374</v>
      </c>
      <c r="Q73" s="6" t="s">
        <v>614</v>
      </c>
    </row>
    <row r="74" spans="2:20">
      <c r="B74" s="3"/>
      <c r="F74" s="23"/>
      <c r="H74" s="236"/>
      <c r="J74" s="23"/>
      <c r="Q74" s="6" t="s">
        <v>673</v>
      </c>
    </row>
    <row r="75" spans="2:20">
      <c r="B75" s="6"/>
      <c r="F75" s="23"/>
      <c r="H75" s="236"/>
      <c r="Q75" s="6"/>
    </row>
    <row r="76" spans="2:20">
      <c r="B76" s="3"/>
      <c r="F76" s="23"/>
      <c r="H76" s="236"/>
      <c r="Q76" s="6"/>
    </row>
    <row r="77" spans="2:20">
      <c r="B77" s="6"/>
      <c r="F77" s="23"/>
      <c r="H77" s="236"/>
      <c r="Q77" s="6"/>
    </row>
    <row r="78" spans="2:20">
      <c r="B78" s="6"/>
      <c r="H78" s="236"/>
    </row>
    <row r="79" spans="2:20">
      <c r="B79" s="6"/>
      <c r="H79" s="236"/>
    </row>
    <row r="80" spans="2:20">
      <c r="B80" s="6"/>
      <c r="H80" s="236"/>
    </row>
    <row r="81" spans="2:8">
      <c r="H81" s="236"/>
    </row>
    <row r="82" spans="2:8">
      <c r="B82" s="6"/>
      <c r="H82" s="236"/>
    </row>
    <row r="83" spans="2:8">
      <c r="B83" s="6"/>
    </row>
    <row r="84" spans="2:8">
      <c r="B84" s="6"/>
    </row>
    <row r="85" spans="2:8">
      <c r="B85" s="6"/>
    </row>
    <row r="86" spans="2:8">
      <c r="B86" s="6"/>
    </row>
    <row r="91" spans="2:8">
      <c r="B91" s="9"/>
    </row>
    <row r="93" spans="2:8">
      <c r="B93" s="9"/>
    </row>
    <row r="95" spans="2:8">
      <c r="B95" s="9"/>
    </row>
    <row r="96" spans="2:8">
      <c r="B96" s="6"/>
    </row>
    <row r="97" spans="2:11">
      <c r="B97" s="9"/>
      <c r="F97" s="9"/>
      <c r="G97" s="1"/>
      <c r="J97" s="9"/>
    </row>
    <row r="98" spans="2:11">
      <c r="C98" s="7"/>
      <c r="G98" s="7"/>
      <c r="K98" s="7"/>
    </row>
    <row r="99" spans="2:11">
      <c r="B99" s="6"/>
      <c r="C99" s="7"/>
      <c r="F99" s="9"/>
      <c r="G99" s="7"/>
      <c r="J99" s="9"/>
      <c r="K99" s="7"/>
    </row>
    <row r="100" spans="2:11">
      <c r="C100" s="7"/>
      <c r="F100" s="6"/>
      <c r="G100" s="7"/>
      <c r="J100" s="6"/>
      <c r="K100" s="7"/>
    </row>
    <row r="101" spans="2:11">
      <c r="B101" s="9"/>
      <c r="C101" s="7"/>
      <c r="F101" s="9"/>
      <c r="G101" s="7"/>
      <c r="J101" s="9"/>
      <c r="K101" s="7"/>
    </row>
    <row r="102" spans="2:11">
      <c r="B102" s="9"/>
      <c r="C102" s="7"/>
      <c r="G102" s="7"/>
      <c r="K102" s="7"/>
    </row>
    <row r="103" spans="2:11">
      <c r="B103" s="6"/>
      <c r="C103" s="7"/>
      <c r="F103" s="6"/>
      <c r="G103" s="7"/>
      <c r="J103" s="6"/>
      <c r="K103" s="7"/>
    </row>
    <row r="104" spans="2:11">
      <c r="G104" s="1"/>
    </row>
    <row r="105" spans="2:11">
      <c r="C105" s="7"/>
      <c r="F105" s="9"/>
      <c r="G105" s="7"/>
      <c r="J105" s="9"/>
      <c r="K105" s="7"/>
    </row>
    <row r="106" spans="2:11">
      <c r="C106" s="7"/>
      <c r="F106" s="9"/>
      <c r="G106" s="7"/>
      <c r="J106" s="9"/>
      <c r="K106" s="7"/>
    </row>
    <row r="107" spans="2:11">
      <c r="B107" s="3"/>
      <c r="C107" s="7"/>
      <c r="F107" s="6"/>
      <c r="G107" s="7"/>
      <c r="J107" s="6"/>
      <c r="K107" s="7"/>
    </row>
    <row r="108" spans="2:11">
      <c r="B108" s="6"/>
      <c r="C108" s="10"/>
      <c r="D108" s="3"/>
      <c r="G108" s="10"/>
      <c r="K108" s="10"/>
    </row>
    <row r="109" spans="2:11">
      <c r="B109" s="6"/>
      <c r="D109" s="6"/>
    </row>
    <row r="111" spans="2:11">
      <c r="B111" s="9"/>
    </row>
    <row r="112" spans="2:11">
      <c r="B112" s="9"/>
    </row>
    <row r="113" spans="2:2">
      <c r="B113" s="9"/>
    </row>
  </sheetData>
  <mergeCells count="1">
    <mergeCell ref="D3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51"/>
  <sheetViews>
    <sheetView topLeftCell="A58" workbookViewId="0">
      <selection activeCell="H36" sqref="H36"/>
    </sheetView>
  </sheetViews>
  <sheetFormatPr baseColWidth="10" defaultRowHeight="12"/>
  <cols>
    <col min="1" max="1" width="8.85546875" style="1" customWidth="1"/>
    <col min="2" max="2" width="3" style="23" customWidth="1"/>
    <col min="3" max="3" width="24.85546875" style="2" customWidth="1"/>
    <col min="4" max="4" width="17.85546875" style="1" customWidth="1"/>
    <col min="5" max="5" width="14.85546875" style="1" customWidth="1"/>
    <col min="6" max="6" width="12.5703125" style="1" bestFit="1" customWidth="1"/>
    <col min="7" max="7" width="11.42578125" style="1"/>
    <col min="8" max="8" width="30.28515625" style="1" bestFit="1" customWidth="1"/>
    <col min="9" max="9" width="11.42578125" style="1"/>
    <col min="10" max="10" width="12.140625" style="1" bestFit="1" customWidth="1"/>
    <col min="11" max="16384" width="11.42578125" style="1"/>
  </cols>
  <sheetData>
    <row r="3" spans="2:11">
      <c r="C3" s="3" t="s">
        <v>47</v>
      </c>
      <c r="D3" s="7">
        <v>0.3</v>
      </c>
      <c r="E3" s="2"/>
    </row>
    <row r="5" spans="2:11">
      <c r="C5" s="3" t="s">
        <v>0</v>
      </c>
    </row>
    <row r="7" spans="2:11">
      <c r="B7" s="25" t="s">
        <v>35</v>
      </c>
      <c r="C7" s="4" t="s">
        <v>334</v>
      </c>
      <c r="F7" s="7">
        <v>60</v>
      </c>
    </row>
    <row r="8" spans="2:11">
      <c r="B8" s="25"/>
      <c r="C8" s="3" t="s">
        <v>1</v>
      </c>
      <c r="F8" s="10">
        <f>+F12*F7*0.01</f>
        <v>24</v>
      </c>
    </row>
    <row r="9" spans="2:11">
      <c r="B9" s="25"/>
      <c r="C9" s="3" t="s">
        <v>2</v>
      </c>
      <c r="F9" s="10">
        <f>+F7*F13*0.01</f>
        <v>36</v>
      </c>
    </row>
    <row r="10" spans="2:11" ht="12.75" thickBot="1">
      <c r="B10" s="25"/>
    </row>
    <row r="11" spans="2:11">
      <c r="B11" s="25"/>
      <c r="C11" s="4" t="s">
        <v>3</v>
      </c>
      <c r="H11" s="148"/>
      <c r="I11" s="149" t="s">
        <v>7</v>
      </c>
      <c r="J11" s="149" t="s">
        <v>14</v>
      </c>
      <c r="K11" s="150" t="s">
        <v>158</v>
      </c>
    </row>
    <row r="12" spans="2:11">
      <c r="B12" s="25"/>
      <c r="C12" s="3" t="s">
        <v>4</v>
      </c>
      <c r="F12" s="7">
        <v>40</v>
      </c>
      <c r="H12" s="151" t="s">
        <v>353</v>
      </c>
      <c r="I12" s="152" t="s">
        <v>140</v>
      </c>
      <c r="J12" s="152" t="s">
        <v>355</v>
      </c>
      <c r="K12" s="153" t="s">
        <v>79</v>
      </c>
    </row>
    <row r="13" spans="2:11">
      <c r="B13" s="25"/>
      <c r="C13" s="3" t="s">
        <v>5</v>
      </c>
      <c r="F13" s="7">
        <v>60</v>
      </c>
      <c r="H13" s="154" t="s">
        <v>354</v>
      </c>
      <c r="I13" s="155">
        <f>+F8*F16</f>
        <v>240000</v>
      </c>
      <c r="J13" s="155">
        <v>15</v>
      </c>
      <c r="K13" s="156">
        <f t="shared" ref="K13:K18" si="0">+I13/J13</f>
        <v>16000</v>
      </c>
    </row>
    <row r="14" spans="2:11">
      <c r="B14" s="25"/>
      <c r="C14" s="3"/>
      <c r="F14" s="7"/>
      <c r="H14" s="154" t="s">
        <v>356</v>
      </c>
      <c r="I14" s="155">
        <f>+F9*F17</f>
        <v>936000</v>
      </c>
      <c r="J14" s="155">
        <v>15</v>
      </c>
      <c r="K14" s="156">
        <f t="shared" si="0"/>
        <v>62400</v>
      </c>
    </row>
    <row r="15" spans="2:11">
      <c r="B15" s="25"/>
      <c r="F15" s="7" t="s">
        <v>9</v>
      </c>
      <c r="H15" s="154" t="s">
        <v>357</v>
      </c>
      <c r="I15" s="155">
        <f>+E40</f>
        <v>500000</v>
      </c>
      <c r="J15" s="155">
        <f>+E42</f>
        <v>50</v>
      </c>
      <c r="K15" s="156">
        <f t="shared" si="0"/>
        <v>10000</v>
      </c>
    </row>
    <row r="16" spans="2:11">
      <c r="B16" s="25"/>
      <c r="C16" s="3" t="s">
        <v>6</v>
      </c>
      <c r="F16" s="7">
        <v>10000</v>
      </c>
      <c r="H16" s="154" t="s">
        <v>358</v>
      </c>
      <c r="I16" s="155">
        <f>+E48*E50</f>
        <v>4800</v>
      </c>
      <c r="J16" s="155">
        <v>5</v>
      </c>
      <c r="K16" s="156">
        <f t="shared" si="0"/>
        <v>960</v>
      </c>
    </row>
    <row r="17" spans="2:11">
      <c r="B17" s="25"/>
      <c r="C17" s="3" t="s">
        <v>8</v>
      </c>
      <c r="F17" s="7">
        <v>26000</v>
      </c>
      <c r="H17" s="154" t="s">
        <v>359</v>
      </c>
      <c r="I17" s="155">
        <f>+E52+D32</f>
        <v>7300</v>
      </c>
      <c r="J17" s="155">
        <v>10</v>
      </c>
      <c r="K17" s="156">
        <f t="shared" si="0"/>
        <v>730</v>
      </c>
    </row>
    <row r="18" spans="2:11">
      <c r="B18" s="25"/>
      <c r="C18" s="3"/>
      <c r="F18" s="7"/>
      <c r="H18" s="154" t="s">
        <v>360</v>
      </c>
      <c r="I18" s="155">
        <f>+E57+E65</f>
        <v>16400</v>
      </c>
      <c r="J18" s="155">
        <v>5</v>
      </c>
      <c r="K18" s="156">
        <f t="shared" si="0"/>
        <v>3280</v>
      </c>
    </row>
    <row r="19" spans="2:11">
      <c r="B19" s="25"/>
      <c r="C19" s="3" t="s">
        <v>339</v>
      </c>
      <c r="E19" s="7">
        <v>15</v>
      </c>
      <c r="F19" s="7"/>
      <c r="H19" s="157" t="s">
        <v>361</v>
      </c>
      <c r="I19" s="158">
        <f>+SUM(I13:I18)</f>
        <v>1704500</v>
      </c>
      <c r="J19" s="159"/>
      <c r="K19" s="160"/>
    </row>
    <row r="20" spans="2:11">
      <c r="B20" s="25"/>
      <c r="C20" s="3" t="s">
        <v>340</v>
      </c>
      <c r="E20" s="7">
        <f>+E19</f>
        <v>15</v>
      </c>
      <c r="F20" s="7"/>
      <c r="H20" s="161"/>
      <c r="I20" s="159"/>
      <c r="J20" s="159"/>
      <c r="K20" s="160"/>
    </row>
    <row r="21" spans="2:11">
      <c r="B21" s="25"/>
      <c r="C21" s="3" t="s">
        <v>341</v>
      </c>
      <c r="E21" s="7">
        <v>5</v>
      </c>
      <c r="F21" s="7"/>
      <c r="H21" s="151" t="s">
        <v>362</v>
      </c>
      <c r="I21" s="159"/>
      <c r="J21" s="159"/>
      <c r="K21" s="160"/>
    </row>
    <row r="22" spans="2:11">
      <c r="B22" s="25"/>
      <c r="C22" s="3"/>
      <c r="E22" s="7"/>
      <c r="F22" s="7"/>
      <c r="H22" s="154" t="s">
        <v>370</v>
      </c>
      <c r="I22" s="158">
        <f>+D93</f>
        <v>556.79999999999995</v>
      </c>
      <c r="J22" s="159"/>
      <c r="K22" s="160"/>
    </row>
    <row r="23" spans="2:11">
      <c r="B23" s="25"/>
      <c r="C23" s="3"/>
      <c r="E23" s="7" t="s">
        <v>345</v>
      </c>
      <c r="F23" s="7"/>
      <c r="H23" s="161"/>
      <c r="I23" s="159"/>
      <c r="J23" s="159"/>
      <c r="K23" s="160"/>
    </row>
    <row r="24" spans="2:11">
      <c r="B24" s="25"/>
      <c r="C24" s="3" t="s">
        <v>342</v>
      </c>
      <c r="E24" s="7">
        <v>200</v>
      </c>
      <c r="F24" s="7"/>
      <c r="H24" s="151" t="s">
        <v>371</v>
      </c>
      <c r="I24" s="159"/>
      <c r="J24" s="159"/>
      <c r="K24" s="160"/>
    </row>
    <row r="25" spans="2:11">
      <c r="B25" s="25"/>
      <c r="C25" s="3" t="s">
        <v>343</v>
      </c>
      <c r="E25" s="7">
        <v>40</v>
      </c>
      <c r="F25" s="7"/>
      <c r="H25" s="154" t="s">
        <v>372</v>
      </c>
      <c r="I25" s="155">
        <f>+E68</f>
        <v>6000</v>
      </c>
      <c r="J25" s="159"/>
      <c r="K25" s="160"/>
    </row>
    <row r="26" spans="2:11">
      <c r="B26" s="25"/>
      <c r="C26" s="3" t="s">
        <v>344</v>
      </c>
      <c r="E26" s="7">
        <v>500</v>
      </c>
      <c r="F26" s="7"/>
      <c r="H26" s="154" t="s">
        <v>103</v>
      </c>
      <c r="I26" s="155">
        <f>+E81</f>
        <v>3640</v>
      </c>
      <c r="J26" s="159"/>
      <c r="K26" s="160"/>
    </row>
    <row r="27" spans="2:11">
      <c r="B27" s="25"/>
      <c r="C27" s="3"/>
      <c r="F27" s="7"/>
      <c r="H27" s="157" t="s">
        <v>373</v>
      </c>
      <c r="I27" s="158">
        <f>+I25+I26</f>
        <v>9640</v>
      </c>
      <c r="J27" s="159"/>
      <c r="K27" s="160"/>
    </row>
    <row r="28" spans="2:11">
      <c r="B28" s="25"/>
      <c r="C28" s="4" t="s">
        <v>335</v>
      </c>
      <c r="F28" s="7"/>
      <c r="H28" s="161"/>
      <c r="I28" s="159"/>
      <c r="J28" s="159"/>
      <c r="K28" s="160"/>
    </row>
    <row r="29" spans="2:11" ht="12.75" thickBot="1">
      <c r="B29" s="25"/>
      <c r="C29" s="3" t="s">
        <v>336</v>
      </c>
      <c r="D29" s="7">
        <f>+E19*E24</f>
        <v>3000</v>
      </c>
      <c r="F29" s="7"/>
      <c r="H29" s="162" t="s">
        <v>374</v>
      </c>
      <c r="I29" s="163">
        <f>+I27+I22+I19</f>
        <v>1714696.8</v>
      </c>
      <c r="J29" s="164"/>
      <c r="K29" s="165"/>
    </row>
    <row r="30" spans="2:11">
      <c r="B30" s="25"/>
      <c r="C30" s="3" t="s">
        <v>337</v>
      </c>
      <c r="D30" s="7">
        <f t="shared" ref="D30:D31" si="1">+E20*E25</f>
        <v>600</v>
      </c>
      <c r="F30" s="7"/>
    </row>
    <row r="31" spans="2:11">
      <c r="B31" s="25"/>
      <c r="C31" s="3" t="s">
        <v>338</v>
      </c>
      <c r="D31" s="7">
        <f t="shared" si="1"/>
        <v>2500</v>
      </c>
      <c r="F31" s="7"/>
    </row>
    <row r="32" spans="2:11">
      <c r="B32" s="25"/>
      <c r="C32" s="3"/>
      <c r="D32" s="10">
        <f>+SUM(D29:D31)</f>
        <v>6100</v>
      </c>
      <c r="F32" s="7"/>
    </row>
    <row r="33" spans="2:5" ht="12.75" thickBot="1">
      <c r="B33" s="25"/>
    </row>
    <row r="34" spans="2:5">
      <c r="B34" s="25"/>
      <c r="C34" s="22"/>
      <c r="D34" s="17"/>
      <c r="E34" s="18" t="s">
        <v>10</v>
      </c>
    </row>
    <row r="35" spans="2:5">
      <c r="B35" s="25"/>
      <c r="C35" s="32" t="s">
        <v>350</v>
      </c>
      <c r="D35" s="29"/>
      <c r="E35" s="30">
        <f>+F16*F8+F17*F9</f>
        <v>1176000</v>
      </c>
    </row>
    <row r="36" spans="2:5">
      <c r="B36" s="25"/>
      <c r="C36" s="32" t="s">
        <v>351</v>
      </c>
      <c r="D36" s="29"/>
      <c r="E36" s="30">
        <f>+D32</f>
        <v>6100</v>
      </c>
    </row>
    <row r="37" spans="2:5" ht="12.75" thickBot="1">
      <c r="B37" s="25"/>
      <c r="C37" s="19" t="s">
        <v>352</v>
      </c>
      <c r="D37" s="20"/>
      <c r="E37" s="26">
        <f>+F16*F8+F17*F9+D32</f>
        <v>1182100</v>
      </c>
    </row>
    <row r="38" spans="2:5" ht="12.75" thickBot="1">
      <c r="B38" s="25"/>
    </row>
    <row r="39" spans="2:5">
      <c r="B39" s="25" t="s">
        <v>36</v>
      </c>
      <c r="C39" s="16" t="s">
        <v>11</v>
      </c>
      <c r="D39" s="17"/>
      <c r="E39" s="18" t="s">
        <v>10</v>
      </c>
    </row>
    <row r="40" spans="2:5" ht="12.75" thickBot="1">
      <c r="B40" s="25"/>
      <c r="C40" s="19" t="s">
        <v>12</v>
      </c>
      <c r="D40" s="20"/>
      <c r="E40" s="21">
        <v>500000</v>
      </c>
    </row>
    <row r="41" spans="2:5">
      <c r="B41" s="25"/>
      <c r="E41" s="7" t="s">
        <v>14</v>
      </c>
    </row>
    <row r="42" spans="2:5">
      <c r="B42" s="25"/>
      <c r="C42" s="4" t="s">
        <v>13</v>
      </c>
      <c r="E42" s="7">
        <v>50</v>
      </c>
    </row>
    <row r="44" spans="2:5">
      <c r="C44" s="3" t="s">
        <v>15</v>
      </c>
      <c r="E44" s="11">
        <v>2</v>
      </c>
    </row>
    <row r="46" spans="2:5">
      <c r="B46" s="25" t="s">
        <v>37</v>
      </c>
      <c r="C46" s="4" t="s">
        <v>105</v>
      </c>
      <c r="E46" s="11">
        <v>3</v>
      </c>
    </row>
    <row r="48" spans="2:5">
      <c r="C48" s="4" t="s">
        <v>16</v>
      </c>
      <c r="E48" s="12">
        <f>+E46*E44</f>
        <v>6</v>
      </c>
    </row>
    <row r="49" spans="2:5">
      <c r="C49" s="4"/>
      <c r="E49" s="12" t="s">
        <v>18</v>
      </c>
    </row>
    <row r="50" spans="2:5">
      <c r="C50" s="4" t="s">
        <v>19</v>
      </c>
      <c r="E50" s="7">
        <v>800</v>
      </c>
    </row>
    <row r="51" spans="2:5">
      <c r="C51" s="4"/>
      <c r="E51" s="7" t="s">
        <v>7</v>
      </c>
    </row>
    <row r="52" spans="2:5" ht="12.75" thickBot="1">
      <c r="C52" s="4" t="s">
        <v>106</v>
      </c>
      <c r="E52" s="7">
        <v>1200</v>
      </c>
    </row>
    <row r="53" spans="2:5">
      <c r="C53" s="16"/>
      <c r="D53" s="17"/>
      <c r="E53" s="18" t="s">
        <v>10</v>
      </c>
    </row>
    <row r="54" spans="2:5" ht="12.75" thickBot="1">
      <c r="C54" s="19" t="s">
        <v>20</v>
      </c>
      <c r="D54" s="19"/>
      <c r="E54" s="26">
        <f>+E50*E48+E52</f>
        <v>6000</v>
      </c>
    </row>
    <row r="55" spans="2:5" ht="12.75" thickBot="1">
      <c r="C55" s="27"/>
      <c r="D55" s="27"/>
      <c r="E55" s="28"/>
    </row>
    <row r="56" spans="2:5">
      <c r="C56" s="22"/>
      <c r="D56" s="17"/>
      <c r="E56" s="18" t="s">
        <v>10</v>
      </c>
    </row>
    <row r="57" spans="2:5" ht="12.75" thickBot="1">
      <c r="B57" s="25" t="s">
        <v>38</v>
      </c>
      <c r="C57" s="19" t="s">
        <v>17</v>
      </c>
      <c r="D57" s="20"/>
      <c r="E57" s="26">
        <v>15000</v>
      </c>
    </row>
    <row r="58" spans="2:5">
      <c r="E58" s="7"/>
    </row>
    <row r="59" spans="2:5">
      <c r="C59" s="3" t="s">
        <v>21</v>
      </c>
      <c r="E59" s="7" t="s">
        <v>23</v>
      </c>
    </row>
    <row r="60" spans="2:5">
      <c r="C60" s="3" t="s">
        <v>22</v>
      </c>
      <c r="E60" s="7">
        <v>20</v>
      </c>
    </row>
    <row r="61" spans="2:5">
      <c r="E61" s="7"/>
    </row>
    <row r="62" spans="2:5">
      <c r="C62" s="3" t="s">
        <v>24</v>
      </c>
      <c r="E62" s="7" t="s">
        <v>26</v>
      </c>
    </row>
    <row r="63" spans="2:5">
      <c r="C63" s="3" t="s">
        <v>25</v>
      </c>
      <c r="E63" s="7">
        <v>70</v>
      </c>
    </row>
    <row r="64" spans="2:5" ht="12.75" thickBot="1">
      <c r="E64" s="7" t="s">
        <v>10</v>
      </c>
    </row>
    <row r="65" spans="2:6" ht="12.75" thickBot="1">
      <c r="B65" s="25" t="s">
        <v>39</v>
      </c>
      <c r="C65" s="13" t="s">
        <v>27</v>
      </c>
      <c r="D65" s="14"/>
      <c r="E65" s="15">
        <f>+E63*E60</f>
        <v>1400</v>
      </c>
    </row>
    <row r="66" spans="2:6">
      <c r="B66" s="25"/>
      <c r="C66" s="27"/>
      <c r="D66" s="29"/>
      <c r="E66" s="28"/>
    </row>
    <row r="67" spans="2:6">
      <c r="B67" s="25" t="s">
        <v>40</v>
      </c>
      <c r="C67" s="27"/>
      <c r="D67" s="29"/>
      <c r="E67" s="30" t="s">
        <v>10</v>
      </c>
    </row>
    <row r="68" spans="2:6">
      <c r="B68" s="1"/>
      <c r="C68" s="27" t="s">
        <v>41</v>
      </c>
      <c r="D68" s="29"/>
      <c r="E68" s="30">
        <f>+E70*E72</f>
        <v>6000</v>
      </c>
    </row>
    <row r="69" spans="2:6">
      <c r="B69" s="25"/>
      <c r="C69" s="27"/>
      <c r="D69" s="29"/>
      <c r="E69" s="30" t="s">
        <v>43</v>
      </c>
    </row>
    <row r="70" spans="2:6">
      <c r="B70" s="25"/>
      <c r="C70" s="27" t="s">
        <v>42</v>
      </c>
      <c r="D70" s="29"/>
      <c r="E70" s="31">
        <v>3</v>
      </c>
    </row>
    <row r="71" spans="2:6">
      <c r="B71" s="25"/>
      <c r="C71" s="27"/>
      <c r="D71" s="29"/>
      <c r="E71" s="31" t="s">
        <v>44</v>
      </c>
    </row>
    <row r="72" spans="2:6">
      <c r="B72" s="25"/>
      <c r="C72" s="27" t="s">
        <v>45</v>
      </c>
      <c r="D72" s="29"/>
      <c r="E72" s="30">
        <v>2000</v>
      </c>
    </row>
    <row r="73" spans="2:6">
      <c r="B73" s="25"/>
      <c r="C73" s="27"/>
      <c r="D73" s="29"/>
      <c r="E73" s="28"/>
    </row>
    <row r="74" spans="2:6" ht="12.75" thickBot="1">
      <c r="B74" s="25"/>
      <c r="C74" s="32" t="s">
        <v>46</v>
      </c>
      <c r="D74" s="29"/>
      <c r="E74" s="30">
        <f>+E68*D3</f>
        <v>1800</v>
      </c>
      <c r="F74" s="3" t="s">
        <v>218</v>
      </c>
    </row>
    <row r="75" spans="2:6">
      <c r="B75" s="25"/>
      <c r="C75" s="33"/>
      <c r="D75" s="17"/>
      <c r="E75" s="18" t="s">
        <v>10</v>
      </c>
    </row>
    <row r="76" spans="2:6" ht="12.75" thickBot="1">
      <c r="B76" s="25"/>
      <c r="C76" s="34" t="s">
        <v>48</v>
      </c>
      <c r="D76" s="20"/>
      <c r="E76" s="26">
        <f>+E72*E70</f>
        <v>6000</v>
      </c>
    </row>
    <row r="77" spans="2:6">
      <c r="B77" s="25"/>
      <c r="C77" s="46"/>
      <c r="D77" s="29"/>
      <c r="E77" s="28"/>
    </row>
    <row r="78" spans="2:6">
      <c r="B78" s="25" t="s">
        <v>101</v>
      </c>
      <c r="C78" s="46"/>
      <c r="D78" s="29"/>
      <c r="E78" s="28"/>
    </row>
    <row r="79" spans="2:6">
      <c r="B79" s="25"/>
      <c r="C79" s="27" t="s">
        <v>102</v>
      </c>
      <c r="D79" s="29"/>
      <c r="E79" s="28"/>
    </row>
    <row r="80" spans="2:6">
      <c r="B80" s="25"/>
      <c r="C80" s="27"/>
      <c r="D80" s="29"/>
      <c r="E80" s="28"/>
    </row>
    <row r="81" spans="2:6">
      <c r="B81" s="25"/>
      <c r="C81" s="27" t="s">
        <v>103</v>
      </c>
      <c r="D81" s="29"/>
      <c r="E81" s="28">
        <v>3640</v>
      </c>
    </row>
    <row r="82" spans="2:6">
      <c r="B82" s="25"/>
      <c r="C82" s="32" t="s">
        <v>46</v>
      </c>
      <c r="D82" s="29"/>
      <c r="E82" s="28">
        <f>+E81*D3</f>
        <v>1092</v>
      </c>
      <c r="F82" s="3" t="s">
        <v>218</v>
      </c>
    </row>
    <row r="83" spans="2:6" ht="12.75" thickBot="1">
      <c r="B83" s="25"/>
      <c r="C83" s="32"/>
      <c r="D83" s="29"/>
      <c r="E83" s="28"/>
    </row>
    <row r="84" spans="2:6" ht="12.75" thickBot="1">
      <c r="B84" s="25"/>
      <c r="C84" s="13" t="s">
        <v>104</v>
      </c>
      <c r="D84" s="14"/>
      <c r="E84" s="15">
        <f>+E81</f>
        <v>3640</v>
      </c>
    </row>
    <row r="85" spans="2:6">
      <c r="B85" s="25"/>
      <c r="C85" s="27"/>
      <c r="D85" s="29"/>
      <c r="E85" s="28"/>
    </row>
    <row r="86" spans="2:6">
      <c r="B86" s="25" t="s">
        <v>363</v>
      </c>
      <c r="C86" s="27" t="s">
        <v>364</v>
      </c>
      <c r="D86" s="29"/>
      <c r="E86" s="28"/>
    </row>
    <row r="87" spans="2:6">
      <c r="B87" s="25"/>
      <c r="C87" s="27"/>
      <c r="D87" s="29"/>
      <c r="E87" s="28"/>
    </row>
    <row r="88" spans="2:6">
      <c r="B88" s="25"/>
      <c r="C88" s="32" t="s">
        <v>365</v>
      </c>
      <c r="D88" s="30">
        <v>20</v>
      </c>
      <c r="E88" s="28"/>
    </row>
    <row r="89" spans="2:6">
      <c r="B89" s="25"/>
      <c r="C89" s="32" t="s">
        <v>366</v>
      </c>
      <c r="D89" s="30">
        <f>+F8</f>
        <v>24</v>
      </c>
      <c r="E89" s="28"/>
    </row>
    <row r="90" spans="2:6">
      <c r="B90" s="25"/>
      <c r="C90" s="32"/>
      <c r="D90" s="30" t="s">
        <v>368</v>
      </c>
      <c r="E90" s="28"/>
    </row>
    <row r="91" spans="2:6">
      <c r="C91" s="3" t="s">
        <v>367</v>
      </c>
      <c r="D91" s="7">
        <v>1.1599999999999999</v>
      </c>
      <c r="E91" s="7"/>
    </row>
    <row r="92" spans="2:6">
      <c r="C92" s="3"/>
      <c r="D92" s="7" t="s">
        <v>7</v>
      </c>
      <c r="E92" s="7"/>
    </row>
    <row r="93" spans="2:6">
      <c r="C93" s="3" t="s">
        <v>369</v>
      </c>
      <c r="D93" s="10">
        <f>+D91*D89*D88</f>
        <v>556.79999999999995</v>
      </c>
      <c r="E93" s="7"/>
    </row>
    <row r="94" spans="2:6">
      <c r="E94" s="7" t="s">
        <v>10</v>
      </c>
    </row>
    <row r="95" spans="2:6">
      <c r="C95" s="4" t="s">
        <v>28</v>
      </c>
      <c r="E95" s="10">
        <f>+E65+E57+E54+E40+E37+E76+E84+D93</f>
        <v>1714696.8</v>
      </c>
      <c r="F95" s="24"/>
    </row>
    <row r="96" spans="2:6" ht="12.75" thickBot="1">
      <c r="C96" s="3" t="s">
        <v>34</v>
      </c>
      <c r="E96" s="7">
        <f>+'fuentes de financiacion'!D7</f>
        <v>75000</v>
      </c>
      <c r="F96" s="6"/>
    </row>
    <row r="97" spans="3:5">
      <c r="C97" s="35"/>
      <c r="D97" s="17"/>
      <c r="E97" s="36" t="s">
        <v>10</v>
      </c>
    </row>
    <row r="98" spans="3:5" ht="12.75" thickBot="1">
      <c r="C98" s="37" t="s">
        <v>49</v>
      </c>
      <c r="D98" s="20"/>
      <c r="E98" s="38">
        <f>+E95-E96</f>
        <v>1639696.8</v>
      </c>
    </row>
    <row r="99" spans="3:5">
      <c r="E99" s="7"/>
    </row>
    <row r="100" spans="3:5">
      <c r="E100" s="7"/>
    </row>
    <row r="101" spans="3:5">
      <c r="E101" s="7"/>
    </row>
    <row r="102" spans="3:5">
      <c r="E102" s="7"/>
    </row>
    <row r="103" spans="3:5">
      <c r="E103" s="7"/>
    </row>
    <row r="104" spans="3:5">
      <c r="E104" s="7"/>
    </row>
    <row r="105" spans="3:5">
      <c r="E105" s="7"/>
    </row>
    <row r="106" spans="3:5">
      <c r="E106" s="7"/>
    </row>
    <row r="107" spans="3:5">
      <c r="E107" s="7"/>
    </row>
    <row r="108" spans="3:5">
      <c r="E108" s="7"/>
    </row>
    <row r="109" spans="3:5">
      <c r="E109" s="7"/>
    </row>
    <row r="110" spans="3:5">
      <c r="E110" s="7"/>
    </row>
    <row r="111" spans="3:5">
      <c r="E111" s="7"/>
    </row>
    <row r="112" spans="3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3"/>
  <sheetViews>
    <sheetView workbookViewId="0">
      <selection activeCell="M30" sqref="M30"/>
    </sheetView>
  </sheetViews>
  <sheetFormatPr baseColWidth="10" defaultRowHeight="12"/>
  <cols>
    <col min="1" max="1" width="2" style="1" customWidth="1"/>
    <col min="2" max="2" width="15.140625" style="1" customWidth="1"/>
    <col min="3" max="3" width="18.42578125" style="1" customWidth="1"/>
    <col min="4" max="4" width="11.42578125" style="1"/>
    <col min="5" max="5" width="11.42578125" style="2"/>
    <col min="6" max="10" width="11.42578125" style="1"/>
    <col min="11" max="11" width="18.28515625" style="1" bestFit="1" customWidth="1"/>
    <col min="12" max="12" width="11.42578125" style="1"/>
    <col min="13" max="13" width="11.85546875" style="1" bestFit="1" customWidth="1"/>
    <col min="14" max="16384" width="11.42578125" style="1"/>
  </cols>
  <sheetData>
    <row r="3" spans="2:14">
      <c r="D3" s="7" t="s">
        <v>7</v>
      </c>
    </row>
    <row r="4" spans="2:14">
      <c r="B4" s="9" t="s">
        <v>29</v>
      </c>
      <c r="D4" s="10">
        <f>+D5</f>
        <v>945496.8</v>
      </c>
    </row>
    <row r="5" spans="2:14">
      <c r="C5" s="7" t="s">
        <v>30</v>
      </c>
      <c r="D5" s="7">
        <f>+'Pagos iniciales'!E98-'fuentes de financiacion'!D10-'fuentes de financiacion'!D22+'fuentes de financiacion'!D37</f>
        <v>945496.8</v>
      </c>
    </row>
    <row r="6" spans="2:14">
      <c r="K6" s="238"/>
      <c r="L6" s="227" t="s">
        <v>7</v>
      </c>
      <c r="M6" s="243" t="s">
        <v>174</v>
      </c>
      <c r="N6" s="244" t="s">
        <v>100</v>
      </c>
    </row>
    <row r="7" spans="2:14">
      <c r="B7" s="9" t="s">
        <v>31</v>
      </c>
      <c r="D7" s="7">
        <v>75000</v>
      </c>
      <c r="E7" s="3" t="s">
        <v>32</v>
      </c>
      <c r="K7" s="239" t="s">
        <v>375</v>
      </c>
      <c r="L7" s="167" t="s">
        <v>376</v>
      </c>
      <c r="M7" s="167" t="s">
        <v>379</v>
      </c>
      <c r="N7" s="240" t="s">
        <v>380</v>
      </c>
    </row>
    <row r="8" spans="2:14">
      <c r="E8" s="3" t="s">
        <v>33</v>
      </c>
      <c r="K8" s="241" t="s">
        <v>30</v>
      </c>
      <c r="L8" s="155">
        <f>+D5</f>
        <v>945496.8</v>
      </c>
      <c r="M8" s="158">
        <f>+L8/L$11*100</f>
        <v>55.140757246412306</v>
      </c>
      <c r="N8" s="217">
        <f>+'VAN ajustado riesgo'!D22</f>
        <v>5.85</v>
      </c>
    </row>
    <row r="9" spans="2:14">
      <c r="K9" s="241" t="s">
        <v>377</v>
      </c>
      <c r="L9" s="155">
        <f>+D7</f>
        <v>75000</v>
      </c>
      <c r="M9" s="158">
        <f t="shared" ref="M9:M10" si="0">+L9/L$11*100</f>
        <v>4.3739511265198603</v>
      </c>
      <c r="N9" s="217">
        <f>+'VAN ajustado riesgo'!D23</f>
        <v>5.85</v>
      </c>
    </row>
    <row r="10" spans="2:14">
      <c r="B10" s="9" t="s">
        <v>50</v>
      </c>
      <c r="D10" s="7">
        <v>694200</v>
      </c>
      <c r="K10" s="241" t="s">
        <v>378</v>
      </c>
      <c r="L10" s="155">
        <f>+D10</f>
        <v>694200</v>
      </c>
      <c r="M10" s="158">
        <f t="shared" si="0"/>
        <v>40.485291627067824</v>
      </c>
      <c r="N10" s="217">
        <f>+'VAN ajustado riesgo'!D24</f>
        <v>4.4754800001272095</v>
      </c>
    </row>
    <row r="11" spans="2:14">
      <c r="K11" s="242"/>
      <c r="L11" s="245">
        <f>+SUM(L8:L10)</f>
        <v>1714696.8</v>
      </c>
      <c r="M11" s="245">
        <f>+SUM(M8:M10)</f>
        <v>100</v>
      </c>
      <c r="N11" s="234"/>
    </row>
    <row r="12" spans="2:14">
      <c r="B12" s="6" t="s">
        <v>51</v>
      </c>
    </row>
    <row r="13" spans="2:14">
      <c r="B13" s="6" t="s">
        <v>52</v>
      </c>
      <c r="L13" s="10" t="s">
        <v>100</v>
      </c>
    </row>
    <row r="14" spans="2:14">
      <c r="B14" s="6" t="s">
        <v>53</v>
      </c>
      <c r="K14" s="25" t="s">
        <v>321</v>
      </c>
      <c r="L14" s="10">
        <f>+(N8*M8+N9*M9+N10*M10)*0.01</f>
        <v>5.2935215695791271</v>
      </c>
    </row>
    <row r="15" spans="2:14" ht="13.5">
      <c r="B15" s="6" t="s">
        <v>54</v>
      </c>
      <c r="D15" s="166">
        <v>0.06</v>
      </c>
    </row>
    <row r="16" spans="2:14">
      <c r="B16" s="6" t="s">
        <v>55</v>
      </c>
      <c r="D16" s="7">
        <v>15000</v>
      </c>
      <c r="K16" s="8"/>
    </row>
    <row r="17" spans="2:5">
      <c r="B17" s="6" t="s">
        <v>56</v>
      </c>
      <c r="D17" s="7">
        <v>25</v>
      </c>
    </row>
    <row r="18" spans="2:5">
      <c r="B18" s="6" t="s">
        <v>58</v>
      </c>
      <c r="D18" s="7">
        <v>5</v>
      </c>
      <c r="E18" s="3" t="s">
        <v>59</v>
      </c>
    </row>
    <row r="19" spans="2:5">
      <c r="B19" s="6" t="s">
        <v>60</v>
      </c>
      <c r="D19" s="7">
        <f>+D17-D18</f>
        <v>20</v>
      </c>
    </row>
    <row r="21" spans="2:5">
      <c r="B21" s="9"/>
    </row>
    <row r="22" spans="2:5">
      <c r="B22" s="9"/>
      <c r="D22" s="10"/>
    </row>
    <row r="24" spans="2:5">
      <c r="B24" s="6"/>
      <c r="D24" s="7"/>
      <c r="E24" s="3"/>
    </row>
    <row r="25" spans="2:5">
      <c r="E25" s="3"/>
    </row>
    <row r="26" spans="2:5">
      <c r="B26" s="9"/>
      <c r="D26" s="10"/>
    </row>
    <row r="27" spans="2:5">
      <c r="D27" s="7"/>
    </row>
    <row r="28" spans="2:5">
      <c r="B28" s="9"/>
      <c r="D28" s="7"/>
      <c r="E28" s="3"/>
    </row>
    <row r="29" spans="2:5">
      <c r="E29" s="3"/>
    </row>
    <row r="30" spans="2:5">
      <c r="D30" s="7"/>
    </row>
    <row r="31" spans="2:5">
      <c r="B31" s="6"/>
      <c r="D31" s="7"/>
      <c r="E31" s="3"/>
    </row>
    <row r="32" spans="2:5">
      <c r="E32" s="3"/>
    </row>
    <row r="33" spans="2:5">
      <c r="E33" s="3"/>
    </row>
    <row r="34" spans="2:5">
      <c r="D34" s="7"/>
    </row>
    <row r="35" spans="2:5">
      <c r="B35" s="6"/>
      <c r="D35" s="7"/>
    </row>
    <row r="36" spans="2:5">
      <c r="B36" s="6"/>
      <c r="D36" s="7"/>
    </row>
    <row r="37" spans="2:5">
      <c r="B37" s="6"/>
      <c r="D37" s="7"/>
    </row>
    <row r="39" spans="2:5">
      <c r="B39" s="9"/>
      <c r="D39" s="7"/>
    </row>
    <row r="40" spans="2:5">
      <c r="B40" s="136"/>
      <c r="C40" s="200"/>
      <c r="D40" s="201"/>
    </row>
    <row r="41" spans="2:5">
      <c r="B41" s="202"/>
      <c r="C41" s="29"/>
      <c r="D41" s="96" t="s">
        <v>7</v>
      </c>
    </row>
    <row r="42" spans="2:5">
      <c r="B42" s="237" t="s">
        <v>219</v>
      </c>
      <c r="C42" s="29"/>
      <c r="D42" s="98">
        <f>+D22+D4+D7+D10-D37</f>
        <v>1714696.8</v>
      </c>
    </row>
    <row r="43" spans="2:5">
      <c r="B43" s="205"/>
      <c r="C43" s="206"/>
      <c r="D43" s="20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6"/>
  <sheetViews>
    <sheetView topLeftCell="E37" workbookViewId="0">
      <selection activeCell="H300" sqref="H300"/>
    </sheetView>
  </sheetViews>
  <sheetFormatPr baseColWidth="10" defaultRowHeight="12"/>
  <cols>
    <col min="1" max="1" width="2.28515625" style="1" customWidth="1"/>
    <col min="2" max="2" width="15.7109375" style="1" customWidth="1"/>
    <col min="3" max="3" width="20" style="1" bestFit="1" customWidth="1"/>
    <col min="4" max="9" width="11.42578125" style="1"/>
    <col min="10" max="10" width="2.28515625" style="1" customWidth="1"/>
    <col min="11" max="11" width="11.42578125" style="1"/>
    <col min="12" max="12" width="21.5703125" style="1" customWidth="1"/>
    <col min="13" max="13" width="19.7109375" style="1" bestFit="1" customWidth="1"/>
    <col min="14" max="16" width="11.42578125" style="1"/>
    <col min="17" max="17" width="22" style="1" bestFit="1" customWidth="1"/>
    <col min="18" max="16384" width="11.42578125" style="1"/>
  </cols>
  <sheetData>
    <row r="2" spans="2:17">
      <c r="D2" s="7" t="s">
        <v>7</v>
      </c>
      <c r="K2" s="8" t="s">
        <v>70</v>
      </c>
    </row>
    <row r="3" spans="2:17">
      <c r="B3" s="6" t="s">
        <v>57</v>
      </c>
      <c r="D3" s="7">
        <f>+'fuentes de financiacion'!D10</f>
        <v>694200</v>
      </c>
      <c r="K3" s="136"/>
      <c r="L3" s="270" t="s">
        <v>7</v>
      </c>
      <c r="M3" s="270"/>
      <c r="N3" s="270"/>
      <c r="O3" s="270"/>
      <c r="P3" s="270"/>
      <c r="Q3" s="271"/>
    </row>
    <row r="4" spans="2:17">
      <c r="K4" s="133" t="s">
        <v>43</v>
      </c>
      <c r="L4" s="30" t="s">
        <v>72</v>
      </c>
      <c r="M4" s="30" t="s">
        <v>73</v>
      </c>
      <c r="N4" s="47" t="s">
        <v>75</v>
      </c>
      <c r="O4" s="47" t="s">
        <v>77</v>
      </c>
      <c r="P4" s="47" t="s">
        <v>77</v>
      </c>
      <c r="Q4" s="96" t="s">
        <v>72</v>
      </c>
    </row>
    <row r="5" spans="2:17">
      <c r="B5" s="6" t="s">
        <v>61</v>
      </c>
      <c r="D5" s="7">
        <v>12</v>
      </c>
      <c r="K5" s="133" t="s">
        <v>71</v>
      </c>
      <c r="L5" s="30" t="s">
        <v>81</v>
      </c>
      <c r="M5" s="30" t="s">
        <v>74</v>
      </c>
      <c r="N5" s="47" t="s">
        <v>76</v>
      </c>
      <c r="O5" s="47" t="s">
        <v>78</v>
      </c>
      <c r="P5" s="47" t="s">
        <v>79</v>
      </c>
      <c r="Q5" s="96" t="s">
        <v>80</v>
      </c>
    </row>
    <row r="6" spans="2:17">
      <c r="D6" s="7" t="s">
        <v>14</v>
      </c>
      <c r="K6" s="134">
        <v>1</v>
      </c>
      <c r="L6" s="30">
        <f>+D3</f>
        <v>694200</v>
      </c>
      <c r="M6" s="30">
        <f>+L6*C$17</f>
        <v>3471</v>
      </c>
      <c r="N6" s="30">
        <f>+M6</f>
        <v>3471</v>
      </c>
      <c r="O6" s="30">
        <f>+N6</f>
        <v>3471</v>
      </c>
      <c r="P6" s="30">
        <f>+N6-M6</f>
        <v>0</v>
      </c>
      <c r="Q6" s="96">
        <f>+L6-P6</f>
        <v>694200</v>
      </c>
    </row>
    <row r="7" spans="2:17">
      <c r="B7" s="9" t="s">
        <v>62</v>
      </c>
      <c r="D7" s="7">
        <f>+'fuentes de financiacion'!D17</f>
        <v>25</v>
      </c>
      <c r="K7" s="134">
        <v>2</v>
      </c>
      <c r="L7" s="30">
        <f>+Q6</f>
        <v>694200</v>
      </c>
      <c r="M7" s="30">
        <f t="shared" ref="M7:M70" si="0">+L7*C$17</f>
        <v>3471</v>
      </c>
      <c r="N7" s="30">
        <f t="shared" ref="N7:O65" si="1">+M7</f>
        <v>3471</v>
      </c>
      <c r="O7" s="30">
        <f t="shared" si="1"/>
        <v>3471</v>
      </c>
      <c r="P7" s="30">
        <f t="shared" ref="P7:P70" si="2">+N7-M7</f>
        <v>0</v>
      </c>
      <c r="Q7" s="96">
        <f t="shared" ref="Q7:Q70" si="3">+L7-P7</f>
        <v>694200</v>
      </c>
    </row>
    <row r="8" spans="2:17">
      <c r="B8" s="9"/>
      <c r="D8" s="7" t="s">
        <v>43</v>
      </c>
      <c r="K8" s="134">
        <v>3</v>
      </c>
      <c r="L8" s="30">
        <f t="shared" ref="L8:L71" si="4">+Q7</f>
        <v>694200</v>
      </c>
      <c r="M8" s="30">
        <f t="shared" si="0"/>
        <v>3471</v>
      </c>
      <c r="N8" s="30">
        <f t="shared" si="1"/>
        <v>3471</v>
      </c>
      <c r="O8" s="30">
        <f t="shared" si="1"/>
        <v>3471</v>
      </c>
      <c r="P8" s="30">
        <f t="shared" si="2"/>
        <v>0</v>
      </c>
      <c r="Q8" s="96">
        <f t="shared" si="3"/>
        <v>694200</v>
      </c>
    </row>
    <row r="9" spans="2:17">
      <c r="B9" s="6" t="s">
        <v>58</v>
      </c>
      <c r="D9" s="7">
        <f>+'fuentes de financiacion'!D18*'tabla financiera '!D5</f>
        <v>60</v>
      </c>
      <c r="K9" s="134">
        <v>4</v>
      </c>
      <c r="L9" s="30">
        <f t="shared" si="4"/>
        <v>694200</v>
      </c>
      <c r="M9" s="30">
        <f t="shared" si="0"/>
        <v>3471</v>
      </c>
      <c r="N9" s="30">
        <f t="shared" si="1"/>
        <v>3471</v>
      </c>
      <c r="O9" s="30">
        <f t="shared" si="1"/>
        <v>3471</v>
      </c>
      <c r="P9" s="30">
        <f t="shared" si="2"/>
        <v>0</v>
      </c>
      <c r="Q9" s="96">
        <f t="shared" si="3"/>
        <v>694200</v>
      </c>
    </row>
    <row r="10" spans="2:17">
      <c r="B10" s="6" t="s">
        <v>60</v>
      </c>
      <c r="D10" s="7">
        <f>+D12-D9</f>
        <v>240</v>
      </c>
      <c r="K10" s="134">
        <v>5</v>
      </c>
      <c r="L10" s="30">
        <f t="shared" si="4"/>
        <v>694200</v>
      </c>
      <c r="M10" s="30">
        <f t="shared" si="0"/>
        <v>3471</v>
      </c>
      <c r="N10" s="30">
        <f t="shared" si="1"/>
        <v>3471</v>
      </c>
      <c r="O10" s="30">
        <f t="shared" si="1"/>
        <v>3471</v>
      </c>
      <c r="P10" s="30">
        <f t="shared" si="2"/>
        <v>0</v>
      </c>
      <c r="Q10" s="96">
        <f t="shared" si="3"/>
        <v>694200</v>
      </c>
    </row>
    <row r="11" spans="2:17">
      <c r="K11" s="134">
        <v>6</v>
      </c>
      <c r="L11" s="30">
        <f t="shared" si="4"/>
        <v>694200</v>
      </c>
      <c r="M11" s="30">
        <f t="shared" si="0"/>
        <v>3471</v>
      </c>
      <c r="N11" s="30">
        <f t="shared" si="1"/>
        <v>3471</v>
      </c>
      <c r="O11" s="30">
        <f t="shared" si="1"/>
        <v>3471</v>
      </c>
      <c r="P11" s="30">
        <f t="shared" si="2"/>
        <v>0</v>
      </c>
      <c r="Q11" s="96">
        <f t="shared" si="3"/>
        <v>694200</v>
      </c>
    </row>
    <row r="12" spans="2:17">
      <c r="B12" s="6" t="s">
        <v>63</v>
      </c>
      <c r="D12" s="7">
        <f>+D7*D5</f>
        <v>300</v>
      </c>
      <c r="K12" s="134">
        <v>7</v>
      </c>
      <c r="L12" s="30">
        <f t="shared" si="4"/>
        <v>694200</v>
      </c>
      <c r="M12" s="30">
        <f t="shared" si="0"/>
        <v>3471</v>
      </c>
      <c r="N12" s="30">
        <f t="shared" si="1"/>
        <v>3471</v>
      </c>
      <c r="O12" s="30">
        <f t="shared" si="1"/>
        <v>3471</v>
      </c>
      <c r="P12" s="30">
        <f t="shared" si="2"/>
        <v>0</v>
      </c>
      <c r="Q12" s="96">
        <f t="shared" si="3"/>
        <v>694200</v>
      </c>
    </row>
    <row r="13" spans="2:17">
      <c r="B13" s="6"/>
      <c r="D13" s="7"/>
      <c r="K13" s="134">
        <v>8</v>
      </c>
      <c r="L13" s="30">
        <f t="shared" si="4"/>
        <v>694200</v>
      </c>
      <c r="M13" s="30">
        <f t="shared" si="0"/>
        <v>3471</v>
      </c>
      <c r="N13" s="30">
        <f t="shared" si="1"/>
        <v>3471</v>
      </c>
      <c r="O13" s="30">
        <f t="shared" si="1"/>
        <v>3471</v>
      </c>
      <c r="P13" s="30">
        <f t="shared" si="2"/>
        <v>0</v>
      </c>
      <c r="Q13" s="96">
        <f t="shared" si="3"/>
        <v>694200</v>
      </c>
    </row>
    <row r="14" spans="2:17">
      <c r="B14" s="6"/>
      <c r="D14" s="7"/>
      <c r="K14" s="134">
        <v>9</v>
      </c>
      <c r="L14" s="30">
        <f t="shared" si="4"/>
        <v>694200</v>
      </c>
      <c r="M14" s="30">
        <f t="shared" si="0"/>
        <v>3471</v>
      </c>
      <c r="N14" s="30">
        <f t="shared" si="1"/>
        <v>3471</v>
      </c>
      <c r="O14" s="30">
        <f t="shared" si="1"/>
        <v>3471</v>
      </c>
      <c r="P14" s="30">
        <f t="shared" si="2"/>
        <v>0</v>
      </c>
      <c r="Q14" s="96">
        <f t="shared" si="3"/>
        <v>694200</v>
      </c>
    </row>
    <row r="15" spans="2:17">
      <c r="K15" s="134">
        <v>10</v>
      </c>
      <c r="L15" s="30">
        <f t="shared" si="4"/>
        <v>694200</v>
      </c>
      <c r="M15" s="30">
        <f t="shared" si="0"/>
        <v>3471</v>
      </c>
      <c r="N15" s="30">
        <f t="shared" si="1"/>
        <v>3471</v>
      </c>
      <c r="O15" s="30">
        <f t="shared" si="1"/>
        <v>3471</v>
      </c>
      <c r="P15" s="30">
        <f t="shared" si="2"/>
        <v>0</v>
      </c>
      <c r="Q15" s="96">
        <f t="shared" si="3"/>
        <v>694200</v>
      </c>
    </row>
    <row r="16" spans="2:17" ht="13.5">
      <c r="B16" s="1" t="s">
        <v>64</v>
      </c>
      <c r="C16" s="10">
        <f>+'fuentes de financiacion'!D15</f>
        <v>0.06</v>
      </c>
      <c r="K16" s="134">
        <v>11</v>
      </c>
      <c r="L16" s="30">
        <f t="shared" si="4"/>
        <v>694200</v>
      </c>
      <c r="M16" s="30">
        <f t="shared" si="0"/>
        <v>3471</v>
      </c>
      <c r="N16" s="30">
        <f t="shared" si="1"/>
        <v>3471</v>
      </c>
      <c r="O16" s="30">
        <f t="shared" si="1"/>
        <v>3471</v>
      </c>
      <c r="P16" s="30">
        <f t="shared" si="2"/>
        <v>0</v>
      </c>
      <c r="Q16" s="96">
        <f t="shared" si="3"/>
        <v>694200</v>
      </c>
    </row>
    <row r="17" spans="2:17" ht="13.5">
      <c r="B17" s="8" t="s">
        <v>65</v>
      </c>
      <c r="C17" s="39">
        <f>+C16/D5</f>
        <v>5.0000000000000001E-3</v>
      </c>
      <c r="K17" s="134">
        <v>12</v>
      </c>
      <c r="L17" s="30">
        <f t="shared" si="4"/>
        <v>694200</v>
      </c>
      <c r="M17" s="30">
        <f t="shared" si="0"/>
        <v>3471</v>
      </c>
      <c r="N17" s="30">
        <f t="shared" si="1"/>
        <v>3471</v>
      </c>
      <c r="O17" s="30">
        <f t="shared" si="1"/>
        <v>3471</v>
      </c>
      <c r="P17" s="30">
        <f t="shared" si="2"/>
        <v>0</v>
      </c>
      <c r="Q17" s="96">
        <f t="shared" si="3"/>
        <v>694200</v>
      </c>
    </row>
    <row r="18" spans="2:17">
      <c r="K18" s="134">
        <v>13</v>
      </c>
      <c r="L18" s="30">
        <f t="shared" si="4"/>
        <v>694200</v>
      </c>
      <c r="M18" s="30">
        <f t="shared" si="0"/>
        <v>3471</v>
      </c>
      <c r="N18" s="30">
        <f t="shared" si="1"/>
        <v>3471</v>
      </c>
      <c r="O18" s="30">
        <f t="shared" si="1"/>
        <v>3471</v>
      </c>
      <c r="P18" s="30">
        <f t="shared" si="2"/>
        <v>0</v>
      </c>
      <c r="Q18" s="96">
        <f t="shared" si="3"/>
        <v>694200</v>
      </c>
    </row>
    <row r="19" spans="2:17">
      <c r="D19" s="7" t="s">
        <v>10</v>
      </c>
      <c r="K19" s="134">
        <v>14</v>
      </c>
      <c r="L19" s="30">
        <f t="shared" si="4"/>
        <v>694200</v>
      </c>
      <c r="M19" s="30">
        <f t="shared" si="0"/>
        <v>3471</v>
      </c>
      <c r="N19" s="30">
        <f t="shared" si="1"/>
        <v>3471</v>
      </c>
      <c r="O19" s="30">
        <f t="shared" si="1"/>
        <v>3471</v>
      </c>
      <c r="P19" s="30">
        <f t="shared" si="2"/>
        <v>0</v>
      </c>
      <c r="Q19" s="96">
        <f t="shared" si="3"/>
        <v>694200</v>
      </c>
    </row>
    <row r="20" spans="2:17">
      <c r="C20" s="7" t="s">
        <v>66</v>
      </c>
      <c r="D20" s="7">
        <f>PV(C17,D10,-1,,0)</f>
        <v>139.58077168292695</v>
      </c>
      <c r="E20" s="3" t="s">
        <v>69</v>
      </c>
      <c r="K20" s="134">
        <v>15</v>
      </c>
      <c r="L20" s="30">
        <f t="shared" si="4"/>
        <v>694200</v>
      </c>
      <c r="M20" s="30">
        <f t="shared" si="0"/>
        <v>3471</v>
      </c>
      <c r="N20" s="30">
        <f t="shared" si="1"/>
        <v>3471</v>
      </c>
      <c r="O20" s="30">
        <f t="shared" si="1"/>
        <v>3471</v>
      </c>
      <c r="P20" s="30">
        <f t="shared" si="2"/>
        <v>0</v>
      </c>
      <c r="Q20" s="96">
        <f t="shared" si="3"/>
        <v>694200</v>
      </c>
    </row>
    <row r="21" spans="2:17">
      <c r="E21" s="6" t="s">
        <v>68</v>
      </c>
      <c r="K21" s="134">
        <v>16</v>
      </c>
      <c r="L21" s="30">
        <f t="shared" si="4"/>
        <v>694200</v>
      </c>
      <c r="M21" s="30">
        <f t="shared" si="0"/>
        <v>3471</v>
      </c>
      <c r="N21" s="30">
        <f t="shared" si="1"/>
        <v>3471</v>
      </c>
      <c r="O21" s="30">
        <f t="shared" si="1"/>
        <v>3471</v>
      </c>
      <c r="P21" s="30">
        <f t="shared" si="2"/>
        <v>0</v>
      </c>
      <c r="Q21" s="96">
        <f t="shared" si="3"/>
        <v>694200</v>
      </c>
    </row>
    <row r="22" spans="2:17">
      <c r="D22" s="7" t="s">
        <v>44</v>
      </c>
      <c r="K22" s="134">
        <v>17</v>
      </c>
      <c r="L22" s="30">
        <f t="shared" si="4"/>
        <v>694200</v>
      </c>
      <c r="M22" s="30">
        <f t="shared" si="0"/>
        <v>3471</v>
      </c>
      <c r="N22" s="30">
        <f t="shared" si="1"/>
        <v>3471</v>
      </c>
      <c r="O22" s="30">
        <f t="shared" si="1"/>
        <v>3471</v>
      </c>
      <c r="P22" s="30">
        <f t="shared" si="2"/>
        <v>0</v>
      </c>
      <c r="Q22" s="96">
        <f t="shared" si="3"/>
        <v>694200</v>
      </c>
    </row>
    <row r="23" spans="2:17">
      <c r="C23" s="10" t="s">
        <v>67</v>
      </c>
      <c r="D23" s="7">
        <f>+D3/D20</f>
        <v>4973.4644079554992</v>
      </c>
      <c r="K23" s="134">
        <v>18</v>
      </c>
      <c r="L23" s="30">
        <f t="shared" si="4"/>
        <v>694200</v>
      </c>
      <c r="M23" s="30">
        <f t="shared" si="0"/>
        <v>3471</v>
      </c>
      <c r="N23" s="30">
        <f t="shared" si="1"/>
        <v>3471</v>
      </c>
      <c r="O23" s="30">
        <f t="shared" si="1"/>
        <v>3471</v>
      </c>
      <c r="P23" s="30">
        <f t="shared" si="2"/>
        <v>0</v>
      </c>
      <c r="Q23" s="96">
        <f t="shared" si="3"/>
        <v>694200</v>
      </c>
    </row>
    <row r="24" spans="2:17">
      <c r="K24" s="134">
        <v>19</v>
      </c>
      <c r="L24" s="30">
        <f t="shared" si="4"/>
        <v>694200</v>
      </c>
      <c r="M24" s="30">
        <f t="shared" si="0"/>
        <v>3471</v>
      </c>
      <c r="N24" s="30">
        <f t="shared" si="1"/>
        <v>3471</v>
      </c>
      <c r="O24" s="30">
        <f t="shared" si="1"/>
        <v>3471</v>
      </c>
      <c r="P24" s="30">
        <f t="shared" si="2"/>
        <v>0</v>
      </c>
      <c r="Q24" s="96">
        <f t="shared" si="3"/>
        <v>694200</v>
      </c>
    </row>
    <row r="25" spans="2:17">
      <c r="K25" s="134">
        <v>20</v>
      </c>
      <c r="L25" s="30">
        <f t="shared" si="4"/>
        <v>694200</v>
      </c>
      <c r="M25" s="30">
        <f t="shared" si="0"/>
        <v>3471</v>
      </c>
      <c r="N25" s="30">
        <f t="shared" si="1"/>
        <v>3471</v>
      </c>
      <c r="O25" s="30">
        <f t="shared" si="1"/>
        <v>3471</v>
      </c>
      <c r="P25" s="30">
        <f t="shared" si="2"/>
        <v>0</v>
      </c>
      <c r="Q25" s="96">
        <f t="shared" si="3"/>
        <v>694200</v>
      </c>
    </row>
    <row r="26" spans="2:17">
      <c r="K26" s="134">
        <v>21</v>
      </c>
      <c r="L26" s="30">
        <f t="shared" si="4"/>
        <v>694200</v>
      </c>
      <c r="M26" s="30">
        <f t="shared" si="0"/>
        <v>3471</v>
      </c>
      <c r="N26" s="30">
        <f t="shared" si="1"/>
        <v>3471</v>
      </c>
      <c r="O26" s="30">
        <f t="shared" si="1"/>
        <v>3471</v>
      </c>
      <c r="P26" s="30">
        <f t="shared" si="2"/>
        <v>0</v>
      </c>
      <c r="Q26" s="96">
        <f t="shared" si="3"/>
        <v>694200</v>
      </c>
    </row>
    <row r="27" spans="2:17">
      <c r="K27" s="134">
        <v>22</v>
      </c>
      <c r="L27" s="30">
        <f t="shared" si="4"/>
        <v>694200</v>
      </c>
      <c r="M27" s="30">
        <f t="shared" si="0"/>
        <v>3471</v>
      </c>
      <c r="N27" s="30">
        <f t="shared" si="1"/>
        <v>3471</v>
      </c>
      <c r="O27" s="30">
        <f t="shared" si="1"/>
        <v>3471</v>
      </c>
      <c r="P27" s="30">
        <f t="shared" si="2"/>
        <v>0</v>
      </c>
      <c r="Q27" s="96">
        <f t="shared" si="3"/>
        <v>694200</v>
      </c>
    </row>
    <row r="28" spans="2:17">
      <c r="K28" s="134">
        <v>23</v>
      </c>
      <c r="L28" s="30">
        <f t="shared" si="4"/>
        <v>694200</v>
      </c>
      <c r="M28" s="30">
        <f t="shared" si="0"/>
        <v>3471</v>
      </c>
      <c r="N28" s="30">
        <f t="shared" si="1"/>
        <v>3471</v>
      </c>
      <c r="O28" s="30">
        <f t="shared" si="1"/>
        <v>3471</v>
      </c>
      <c r="P28" s="30">
        <f t="shared" si="2"/>
        <v>0</v>
      </c>
      <c r="Q28" s="96">
        <f t="shared" si="3"/>
        <v>694200</v>
      </c>
    </row>
    <row r="29" spans="2:17">
      <c r="K29" s="134">
        <v>24</v>
      </c>
      <c r="L29" s="30">
        <f t="shared" si="4"/>
        <v>694200</v>
      </c>
      <c r="M29" s="30">
        <f t="shared" si="0"/>
        <v>3471</v>
      </c>
      <c r="N29" s="30">
        <f t="shared" si="1"/>
        <v>3471</v>
      </c>
      <c r="O29" s="30">
        <f t="shared" si="1"/>
        <v>3471</v>
      </c>
      <c r="P29" s="30">
        <f t="shared" si="2"/>
        <v>0</v>
      </c>
      <c r="Q29" s="96">
        <f t="shared" si="3"/>
        <v>694200</v>
      </c>
    </row>
    <row r="30" spans="2:17">
      <c r="K30" s="134">
        <v>25</v>
      </c>
      <c r="L30" s="30">
        <f t="shared" si="4"/>
        <v>694200</v>
      </c>
      <c r="M30" s="30">
        <f t="shared" si="0"/>
        <v>3471</v>
      </c>
      <c r="N30" s="30">
        <f t="shared" si="1"/>
        <v>3471</v>
      </c>
      <c r="O30" s="30">
        <f t="shared" si="1"/>
        <v>3471</v>
      </c>
      <c r="P30" s="30">
        <f t="shared" si="2"/>
        <v>0</v>
      </c>
      <c r="Q30" s="96">
        <f t="shared" si="3"/>
        <v>694200</v>
      </c>
    </row>
    <row r="31" spans="2:17">
      <c r="K31" s="134">
        <v>26</v>
      </c>
      <c r="L31" s="30">
        <f t="shared" si="4"/>
        <v>694200</v>
      </c>
      <c r="M31" s="30">
        <f t="shared" si="0"/>
        <v>3471</v>
      </c>
      <c r="N31" s="30">
        <f t="shared" si="1"/>
        <v>3471</v>
      </c>
      <c r="O31" s="30">
        <f t="shared" si="1"/>
        <v>3471</v>
      </c>
      <c r="P31" s="30">
        <f t="shared" si="2"/>
        <v>0</v>
      </c>
      <c r="Q31" s="96">
        <f t="shared" si="3"/>
        <v>694200</v>
      </c>
    </row>
    <row r="32" spans="2:17">
      <c r="K32" s="134">
        <v>27</v>
      </c>
      <c r="L32" s="30">
        <f t="shared" si="4"/>
        <v>694200</v>
      </c>
      <c r="M32" s="30">
        <f t="shared" si="0"/>
        <v>3471</v>
      </c>
      <c r="N32" s="30">
        <f t="shared" si="1"/>
        <v>3471</v>
      </c>
      <c r="O32" s="30">
        <f t="shared" si="1"/>
        <v>3471</v>
      </c>
      <c r="P32" s="30">
        <f t="shared" si="2"/>
        <v>0</v>
      </c>
      <c r="Q32" s="96">
        <f t="shared" si="3"/>
        <v>694200</v>
      </c>
    </row>
    <row r="33" spans="11:17">
      <c r="K33" s="134">
        <v>28</v>
      </c>
      <c r="L33" s="30">
        <f t="shared" si="4"/>
        <v>694200</v>
      </c>
      <c r="M33" s="30">
        <f t="shared" si="0"/>
        <v>3471</v>
      </c>
      <c r="N33" s="30">
        <f t="shared" si="1"/>
        <v>3471</v>
      </c>
      <c r="O33" s="30">
        <f t="shared" si="1"/>
        <v>3471</v>
      </c>
      <c r="P33" s="30">
        <f t="shared" si="2"/>
        <v>0</v>
      </c>
      <c r="Q33" s="96">
        <f t="shared" si="3"/>
        <v>694200</v>
      </c>
    </row>
    <row r="34" spans="11:17">
      <c r="K34" s="134">
        <v>29</v>
      </c>
      <c r="L34" s="30">
        <f t="shared" si="4"/>
        <v>694200</v>
      </c>
      <c r="M34" s="30">
        <f t="shared" si="0"/>
        <v>3471</v>
      </c>
      <c r="N34" s="30">
        <f t="shared" si="1"/>
        <v>3471</v>
      </c>
      <c r="O34" s="30">
        <f t="shared" si="1"/>
        <v>3471</v>
      </c>
      <c r="P34" s="30">
        <f t="shared" si="2"/>
        <v>0</v>
      </c>
      <c r="Q34" s="96">
        <f t="shared" si="3"/>
        <v>694200</v>
      </c>
    </row>
    <row r="35" spans="11:17">
      <c r="K35" s="134">
        <v>30</v>
      </c>
      <c r="L35" s="30">
        <f t="shared" si="4"/>
        <v>694200</v>
      </c>
      <c r="M35" s="30">
        <f t="shared" si="0"/>
        <v>3471</v>
      </c>
      <c r="N35" s="30">
        <f t="shared" si="1"/>
        <v>3471</v>
      </c>
      <c r="O35" s="30">
        <f t="shared" si="1"/>
        <v>3471</v>
      </c>
      <c r="P35" s="30">
        <f t="shared" si="2"/>
        <v>0</v>
      </c>
      <c r="Q35" s="96">
        <f t="shared" si="3"/>
        <v>694200</v>
      </c>
    </row>
    <row r="36" spans="11:17">
      <c r="K36" s="134">
        <v>31</v>
      </c>
      <c r="L36" s="30">
        <f t="shared" si="4"/>
        <v>694200</v>
      </c>
      <c r="M36" s="30">
        <f t="shared" si="0"/>
        <v>3471</v>
      </c>
      <c r="N36" s="30">
        <f t="shared" si="1"/>
        <v>3471</v>
      </c>
      <c r="O36" s="30">
        <f t="shared" si="1"/>
        <v>3471</v>
      </c>
      <c r="P36" s="30">
        <f t="shared" si="2"/>
        <v>0</v>
      </c>
      <c r="Q36" s="96">
        <f t="shared" si="3"/>
        <v>694200</v>
      </c>
    </row>
    <row r="37" spans="11:17">
      <c r="K37" s="134">
        <v>32</v>
      </c>
      <c r="L37" s="30">
        <f t="shared" si="4"/>
        <v>694200</v>
      </c>
      <c r="M37" s="30">
        <f t="shared" si="0"/>
        <v>3471</v>
      </c>
      <c r="N37" s="30">
        <f t="shared" si="1"/>
        <v>3471</v>
      </c>
      <c r="O37" s="30">
        <f t="shared" si="1"/>
        <v>3471</v>
      </c>
      <c r="P37" s="30">
        <f t="shared" si="2"/>
        <v>0</v>
      </c>
      <c r="Q37" s="96">
        <f t="shared" si="3"/>
        <v>694200</v>
      </c>
    </row>
    <row r="38" spans="11:17">
      <c r="K38" s="134">
        <v>33</v>
      </c>
      <c r="L38" s="30">
        <f t="shared" si="4"/>
        <v>694200</v>
      </c>
      <c r="M38" s="30">
        <f t="shared" si="0"/>
        <v>3471</v>
      </c>
      <c r="N38" s="30">
        <f t="shared" si="1"/>
        <v>3471</v>
      </c>
      <c r="O38" s="30">
        <f t="shared" si="1"/>
        <v>3471</v>
      </c>
      <c r="P38" s="30">
        <f t="shared" si="2"/>
        <v>0</v>
      </c>
      <c r="Q38" s="96">
        <f t="shared" si="3"/>
        <v>694200</v>
      </c>
    </row>
    <row r="39" spans="11:17">
      <c r="K39" s="134">
        <v>34</v>
      </c>
      <c r="L39" s="30">
        <f t="shared" si="4"/>
        <v>694200</v>
      </c>
      <c r="M39" s="30">
        <f t="shared" si="0"/>
        <v>3471</v>
      </c>
      <c r="N39" s="30">
        <f t="shared" si="1"/>
        <v>3471</v>
      </c>
      <c r="O39" s="30">
        <f t="shared" si="1"/>
        <v>3471</v>
      </c>
      <c r="P39" s="30">
        <f t="shared" si="2"/>
        <v>0</v>
      </c>
      <c r="Q39" s="96">
        <f t="shared" si="3"/>
        <v>694200</v>
      </c>
    </row>
    <row r="40" spans="11:17">
      <c r="K40" s="134">
        <v>35</v>
      </c>
      <c r="L40" s="30">
        <f t="shared" si="4"/>
        <v>694200</v>
      </c>
      <c r="M40" s="30">
        <f t="shared" si="0"/>
        <v>3471</v>
      </c>
      <c r="N40" s="30">
        <f t="shared" si="1"/>
        <v>3471</v>
      </c>
      <c r="O40" s="30">
        <f t="shared" si="1"/>
        <v>3471</v>
      </c>
      <c r="P40" s="30">
        <f t="shared" si="2"/>
        <v>0</v>
      </c>
      <c r="Q40" s="96">
        <f t="shared" si="3"/>
        <v>694200</v>
      </c>
    </row>
    <row r="41" spans="11:17">
      <c r="K41" s="134">
        <v>36</v>
      </c>
      <c r="L41" s="30">
        <f t="shared" si="4"/>
        <v>694200</v>
      </c>
      <c r="M41" s="30">
        <f t="shared" si="0"/>
        <v>3471</v>
      </c>
      <c r="N41" s="30">
        <f t="shared" si="1"/>
        <v>3471</v>
      </c>
      <c r="O41" s="30">
        <f t="shared" si="1"/>
        <v>3471</v>
      </c>
      <c r="P41" s="30">
        <f t="shared" si="2"/>
        <v>0</v>
      </c>
      <c r="Q41" s="96">
        <f t="shared" si="3"/>
        <v>694200</v>
      </c>
    </row>
    <row r="42" spans="11:17">
      <c r="K42" s="134">
        <v>37</v>
      </c>
      <c r="L42" s="30">
        <f t="shared" si="4"/>
        <v>694200</v>
      </c>
      <c r="M42" s="30">
        <f t="shared" si="0"/>
        <v>3471</v>
      </c>
      <c r="N42" s="30">
        <f t="shared" si="1"/>
        <v>3471</v>
      </c>
      <c r="O42" s="30">
        <f t="shared" si="1"/>
        <v>3471</v>
      </c>
      <c r="P42" s="30">
        <f t="shared" si="2"/>
        <v>0</v>
      </c>
      <c r="Q42" s="96">
        <f t="shared" si="3"/>
        <v>694200</v>
      </c>
    </row>
    <row r="43" spans="11:17">
      <c r="K43" s="134">
        <v>38</v>
      </c>
      <c r="L43" s="30">
        <f t="shared" si="4"/>
        <v>694200</v>
      </c>
      <c r="M43" s="30">
        <f t="shared" si="0"/>
        <v>3471</v>
      </c>
      <c r="N43" s="30">
        <f t="shared" si="1"/>
        <v>3471</v>
      </c>
      <c r="O43" s="30">
        <f t="shared" si="1"/>
        <v>3471</v>
      </c>
      <c r="P43" s="30">
        <f t="shared" si="2"/>
        <v>0</v>
      </c>
      <c r="Q43" s="96">
        <f t="shared" si="3"/>
        <v>694200</v>
      </c>
    </row>
    <row r="44" spans="11:17">
      <c r="K44" s="134">
        <v>39</v>
      </c>
      <c r="L44" s="30">
        <f t="shared" si="4"/>
        <v>694200</v>
      </c>
      <c r="M44" s="30">
        <f t="shared" si="0"/>
        <v>3471</v>
      </c>
      <c r="N44" s="30">
        <f t="shared" si="1"/>
        <v>3471</v>
      </c>
      <c r="O44" s="30">
        <f t="shared" si="1"/>
        <v>3471</v>
      </c>
      <c r="P44" s="30">
        <f t="shared" si="2"/>
        <v>0</v>
      </c>
      <c r="Q44" s="96">
        <f t="shared" si="3"/>
        <v>694200</v>
      </c>
    </row>
    <row r="45" spans="11:17">
      <c r="K45" s="134">
        <v>40</v>
      </c>
      <c r="L45" s="30">
        <f t="shared" si="4"/>
        <v>694200</v>
      </c>
      <c r="M45" s="30">
        <f t="shared" si="0"/>
        <v>3471</v>
      </c>
      <c r="N45" s="30">
        <f t="shared" si="1"/>
        <v>3471</v>
      </c>
      <c r="O45" s="30">
        <f t="shared" si="1"/>
        <v>3471</v>
      </c>
      <c r="P45" s="30">
        <f t="shared" si="2"/>
        <v>0</v>
      </c>
      <c r="Q45" s="96">
        <f t="shared" si="3"/>
        <v>694200</v>
      </c>
    </row>
    <row r="46" spans="11:17">
      <c r="K46" s="134">
        <v>41</v>
      </c>
      <c r="L46" s="30">
        <f t="shared" si="4"/>
        <v>694200</v>
      </c>
      <c r="M46" s="30">
        <f t="shared" si="0"/>
        <v>3471</v>
      </c>
      <c r="N46" s="30">
        <f t="shared" si="1"/>
        <v>3471</v>
      </c>
      <c r="O46" s="30">
        <f t="shared" si="1"/>
        <v>3471</v>
      </c>
      <c r="P46" s="30">
        <f t="shared" si="2"/>
        <v>0</v>
      </c>
      <c r="Q46" s="96">
        <f t="shared" si="3"/>
        <v>694200</v>
      </c>
    </row>
    <row r="47" spans="11:17">
      <c r="K47" s="134">
        <v>42</v>
      </c>
      <c r="L47" s="30">
        <f t="shared" si="4"/>
        <v>694200</v>
      </c>
      <c r="M47" s="30">
        <f t="shared" si="0"/>
        <v>3471</v>
      </c>
      <c r="N47" s="30">
        <f t="shared" si="1"/>
        <v>3471</v>
      </c>
      <c r="O47" s="30">
        <f t="shared" si="1"/>
        <v>3471</v>
      </c>
      <c r="P47" s="30">
        <f t="shared" si="2"/>
        <v>0</v>
      </c>
      <c r="Q47" s="96">
        <f t="shared" si="3"/>
        <v>694200</v>
      </c>
    </row>
    <row r="48" spans="11:17">
      <c r="K48" s="134">
        <v>43</v>
      </c>
      <c r="L48" s="30">
        <f t="shared" si="4"/>
        <v>694200</v>
      </c>
      <c r="M48" s="30">
        <f t="shared" si="0"/>
        <v>3471</v>
      </c>
      <c r="N48" s="30">
        <f t="shared" si="1"/>
        <v>3471</v>
      </c>
      <c r="O48" s="30">
        <f t="shared" si="1"/>
        <v>3471</v>
      </c>
      <c r="P48" s="30">
        <f t="shared" si="2"/>
        <v>0</v>
      </c>
      <c r="Q48" s="96">
        <f t="shared" si="3"/>
        <v>694200</v>
      </c>
    </row>
    <row r="49" spans="11:17">
      <c r="K49" s="134">
        <v>44</v>
      </c>
      <c r="L49" s="30">
        <f t="shared" si="4"/>
        <v>694200</v>
      </c>
      <c r="M49" s="30">
        <f t="shared" si="0"/>
        <v>3471</v>
      </c>
      <c r="N49" s="30">
        <f t="shared" si="1"/>
        <v>3471</v>
      </c>
      <c r="O49" s="30">
        <f t="shared" si="1"/>
        <v>3471</v>
      </c>
      <c r="P49" s="30">
        <f t="shared" si="2"/>
        <v>0</v>
      </c>
      <c r="Q49" s="96">
        <f t="shared" si="3"/>
        <v>694200</v>
      </c>
    </row>
    <row r="50" spans="11:17">
      <c r="K50" s="134">
        <v>45</v>
      </c>
      <c r="L50" s="30">
        <f t="shared" si="4"/>
        <v>694200</v>
      </c>
      <c r="M50" s="30">
        <f t="shared" si="0"/>
        <v>3471</v>
      </c>
      <c r="N50" s="30">
        <f t="shared" si="1"/>
        <v>3471</v>
      </c>
      <c r="O50" s="30">
        <f t="shared" si="1"/>
        <v>3471</v>
      </c>
      <c r="P50" s="30">
        <f t="shared" si="2"/>
        <v>0</v>
      </c>
      <c r="Q50" s="96">
        <f t="shared" si="3"/>
        <v>694200</v>
      </c>
    </row>
    <row r="51" spans="11:17">
      <c r="K51" s="134">
        <v>46</v>
      </c>
      <c r="L51" s="30">
        <f t="shared" si="4"/>
        <v>694200</v>
      </c>
      <c r="M51" s="30">
        <f t="shared" si="0"/>
        <v>3471</v>
      </c>
      <c r="N51" s="30">
        <f t="shared" si="1"/>
        <v>3471</v>
      </c>
      <c r="O51" s="30">
        <f t="shared" si="1"/>
        <v>3471</v>
      </c>
      <c r="P51" s="30">
        <f t="shared" si="2"/>
        <v>0</v>
      </c>
      <c r="Q51" s="96">
        <f t="shared" si="3"/>
        <v>694200</v>
      </c>
    </row>
    <row r="52" spans="11:17">
      <c r="K52" s="134">
        <v>47</v>
      </c>
      <c r="L52" s="30">
        <f t="shared" si="4"/>
        <v>694200</v>
      </c>
      <c r="M52" s="30">
        <f t="shared" si="0"/>
        <v>3471</v>
      </c>
      <c r="N52" s="30">
        <f t="shared" si="1"/>
        <v>3471</v>
      </c>
      <c r="O52" s="30">
        <f t="shared" si="1"/>
        <v>3471</v>
      </c>
      <c r="P52" s="30">
        <f t="shared" si="2"/>
        <v>0</v>
      </c>
      <c r="Q52" s="96">
        <f t="shared" si="3"/>
        <v>694200</v>
      </c>
    </row>
    <row r="53" spans="11:17">
      <c r="K53" s="134">
        <v>48</v>
      </c>
      <c r="L53" s="30">
        <f t="shared" si="4"/>
        <v>694200</v>
      </c>
      <c r="M53" s="30">
        <f t="shared" si="0"/>
        <v>3471</v>
      </c>
      <c r="N53" s="30">
        <f t="shared" si="1"/>
        <v>3471</v>
      </c>
      <c r="O53" s="30">
        <f t="shared" si="1"/>
        <v>3471</v>
      </c>
      <c r="P53" s="30">
        <f t="shared" si="2"/>
        <v>0</v>
      </c>
      <c r="Q53" s="96">
        <f t="shared" si="3"/>
        <v>694200</v>
      </c>
    </row>
    <row r="54" spans="11:17">
      <c r="K54" s="134">
        <v>49</v>
      </c>
      <c r="L54" s="30">
        <f t="shared" si="4"/>
        <v>694200</v>
      </c>
      <c r="M54" s="30">
        <f t="shared" si="0"/>
        <v>3471</v>
      </c>
      <c r="N54" s="30">
        <f t="shared" si="1"/>
        <v>3471</v>
      </c>
      <c r="O54" s="30">
        <f t="shared" si="1"/>
        <v>3471</v>
      </c>
      <c r="P54" s="30">
        <f t="shared" si="2"/>
        <v>0</v>
      </c>
      <c r="Q54" s="96">
        <f t="shared" si="3"/>
        <v>694200</v>
      </c>
    </row>
    <row r="55" spans="11:17">
      <c r="K55" s="134">
        <v>50</v>
      </c>
      <c r="L55" s="30">
        <f t="shared" si="4"/>
        <v>694200</v>
      </c>
      <c r="M55" s="30">
        <f t="shared" si="0"/>
        <v>3471</v>
      </c>
      <c r="N55" s="30">
        <f t="shared" si="1"/>
        <v>3471</v>
      </c>
      <c r="O55" s="30">
        <f t="shared" si="1"/>
        <v>3471</v>
      </c>
      <c r="P55" s="30">
        <f t="shared" si="2"/>
        <v>0</v>
      </c>
      <c r="Q55" s="96">
        <f t="shared" si="3"/>
        <v>694200</v>
      </c>
    </row>
    <row r="56" spans="11:17">
      <c r="K56" s="134">
        <v>51</v>
      </c>
      <c r="L56" s="30">
        <f t="shared" si="4"/>
        <v>694200</v>
      </c>
      <c r="M56" s="30">
        <f t="shared" si="0"/>
        <v>3471</v>
      </c>
      <c r="N56" s="30">
        <f t="shared" si="1"/>
        <v>3471</v>
      </c>
      <c r="O56" s="30">
        <f t="shared" si="1"/>
        <v>3471</v>
      </c>
      <c r="P56" s="30">
        <f t="shared" si="2"/>
        <v>0</v>
      </c>
      <c r="Q56" s="96">
        <f t="shared" si="3"/>
        <v>694200</v>
      </c>
    </row>
    <row r="57" spans="11:17">
      <c r="K57" s="134">
        <v>52</v>
      </c>
      <c r="L57" s="30">
        <f t="shared" si="4"/>
        <v>694200</v>
      </c>
      <c r="M57" s="30">
        <f t="shared" si="0"/>
        <v>3471</v>
      </c>
      <c r="N57" s="30">
        <f t="shared" si="1"/>
        <v>3471</v>
      </c>
      <c r="O57" s="30">
        <f t="shared" si="1"/>
        <v>3471</v>
      </c>
      <c r="P57" s="30">
        <f t="shared" si="2"/>
        <v>0</v>
      </c>
      <c r="Q57" s="96">
        <f t="shared" si="3"/>
        <v>694200</v>
      </c>
    </row>
    <row r="58" spans="11:17">
      <c r="K58" s="134">
        <v>53</v>
      </c>
      <c r="L58" s="30">
        <f t="shared" si="4"/>
        <v>694200</v>
      </c>
      <c r="M58" s="30">
        <f t="shared" si="0"/>
        <v>3471</v>
      </c>
      <c r="N58" s="30">
        <f t="shared" si="1"/>
        <v>3471</v>
      </c>
      <c r="O58" s="30">
        <f t="shared" si="1"/>
        <v>3471</v>
      </c>
      <c r="P58" s="30">
        <f t="shared" si="2"/>
        <v>0</v>
      </c>
      <c r="Q58" s="96">
        <f t="shared" si="3"/>
        <v>694200</v>
      </c>
    </row>
    <row r="59" spans="11:17">
      <c r="K59" s="134">
        <v>54</v>
      </c>
      <c r="L59" s="30">
        <f t="shared" si="4"/>
        <v>694200</v>
      </c>
      <c r="M59" s="30">
        <f t="shared" si="0"/>
        <v>3471</v>
      </c>
      <c r="N59" s="30">
        <f t="shared" si="1"/>
        <v>3471</v>
      </c>
      <c r="O59" s="30">
        <f t="shared" si="1"/>
        <v>3471</v>
      </c>
      <c r="P59" s="30">
        <f t="shared" si="2"/>
        <v>0</v>
      </c>
      <c r="Q59" s="96">
        <f t="shared" si="3"/>
        <v>694200</v>
      </c>
    </row>
    <row r="60" spans="11:17">
      <c r="K60" s="134">
        <v>55</v>
      </c>
      <c r="L60" s="30">
        <f t="shared" si="4"/>
        <v>694200</v>
      </c>
      <c r="M60" s="30">
        <f t="shared" si="0"/>
        <v>3471</v>
      </c>
      <c r="N60" s="30">
        <f t="shared" si="1"/>
        <v>3471</v>
      </c>
      <c r="O60" s="30">
        <f t="shared" si="1"/>
        <v>3471</v>
      </c>
      <c r="P60" s="30">
        <f t="shared" si="2"/>
        <v>0</v>
      </c>
      <c r="Q60" s="96">
        <f t="shared" si="3"/>
        <v>694200</v>
      </c>
    </row>
    <row r="61" spans="11:17">
      <c r="K61" s="134">
        <v>56</v>
      </c>
      <c r="L61" s="30">
        <f t="shared" si="4"/>
        <v>694200</v>
      </c>
      <c r="M61" s="30">
        <f t="shared" si="0"/>
        <v>3471</v>
      </c>
      <c r="N61" s="30">
        <f t="shared" si="1"/>
        <v>3471</v>
      </c>
      <c r="O61" s="30">
        <f t="shared" si="1"/>
        <v>3471</v>
      </c>
      <c r="P61" s="30">
        <f t="shared" si="2"/>
        <v>0</v>
      </c>
      <c r="Q61" s="96">
        <f t="shared" si="3"/>
        <v>694200</v>
      </c>
    </row>
    <row r="62" spans="11:17">
      <c r="K62" s="134">
        <v>57</v>
      </c>
      <c r="L62" s="30">
        <f t="shared" si="4"/>
        <v>694200</v>
      </c>
      <c r="M62" s="30">
        <f t="shared" si="0"/>
        <v>3471</v>
      </c>
      <c r="N62" s="30">
        <f t="shared" si="1"/>
        <v>3471</v>
      </c>
      <c r="O62" s="30">
        <f t="shared" si="1"/>
        <v>3471</v>
      </c>
      <c r="P62" s="30">
        <f t="shared" si="2"/>
        <v>0</v>
      </c>
      <c r="Q62" s="96">
        <f t="shared" si="3"/>
        <v>694200</v>
      </c>
    </row>
    <row r="63" spans="11:17">
      <c r="K63" s="134">
        <v>58</v>
      </c>
      <c r="L63" s="30">
        <f t="shared" si="4"/>
        <v>694200</v>
      </c>
      <c r="M63" s="30">
        <f t="shared" si="0"/>
        <v>3471</v>
      </c>
      <c r="N63" s="30">
        <f t="shared" si="1"/>
        <v>3471</v>
      </c>
      <c r="O63" s="30">
        <f t="shared" si="1"/>
        <v>3471</v>
      </c>
      <c r="P63" s="30">
        <f t="shared" si="2"/>
        <v>0</v>
      </c>
      <c r="Q63" s="96">
        <f t="shared" si="3"/>
        <v>694200</v>
      </c>
    </row>
    <row r="64" spans="11:17">
      <c r="K64" s="134">
        <v>59</v>
      </c>
      <c r="L64" s="30">
        <f t="shared" si="4"/>
        <v>694200</v>
      </c>
      <c r="M64" s="30">
        <f t="shared" si="0"/>
        <v>3471</v>
      </c>
      <c r="N64" s="30">
        <f t="shared" si="1"/>
        <v>3471</v>
      </c>
      <c r="O64" s="30">
        <f t="shared" si="1"/>
        <v>3471</v>
      </c>
      <c r="P64" s="30">
        <f t="shared" si="2"/>
        <v>0</v>
      </c>
      <c r="Q64" s="96">
        <f t="shared" si="3"/>
        <v>694200</v>
      </c>
    </row>
    <row r="65" spans="11:17" s="41" customFormat="1">
      <c r="K65" s="185">
        <v>60</v>
      </c>
      <c r="L65" s="48">
        <f t="shared" si="4"/>
        <v>694200</v>
      </c>
      <c r="M65" s="48">
        <f t="shared" si="0"/>
        <v>3471</v>
      </c>
      <c r="N65" s="48">
        <f t="shared" si="1"/>
        <v>3471</v>
      </c>
      <c r="O65" s="48">
        <f t="shared" si="1"/>
        <v>3471</v>
      </c>
      <c r="P65" s="48">
        <f t="shared" si="2"/>
        <v>0</v>
      </c>
      <c r="Q65" s="122">
        <f t="shared" si="3"/>
        <v>694200</v>
      </c>
    </row>
    <row r="66" spans="11:17">
      <c r="K66" s="134">
        <v>61</v>
      </c>
      <c r="L66" s="30">
        <f t="shared" si="4"/>
        <v>694200</v>
      </c>
      <c r="M66" s="30">
        <f t="shared" si="0"/>
        <v>3471</v>
      </c>
      <c r="N66" s="30">
        <f>+D$23</f>
        <v>4973.4644079554992</v>
      </c>
      <c r="O66" s="30">
        <f t="shared" ref="O66:O129" si="5">+N66</f>
        <v>4973.4644079554992</v>
      </c>
      <c r="P66" s="30">
        <f t="shared" si="2"/>
        <v>1502.4644079554992</v>
      </c>
      <c r="Q66" s="96">
        <f t="shared" si="3"/>
        <v>692697.53559204447</v>
      </c>
    </row>
    <row r="67" spans="11:17">
      <c r="K67" s="134">
        <v>62</v>
      </c>
      <c r="L67" s="30">
        <f t="shared" si="4"/>
        <v>692697.53559204447</v>
      </c>
      <c r="M67" s="30">
        <f t="shared" si="0"/>
        <v>3463.4876779602223</v>
      </c>
      <c r="N67" s="30">
        <f t="shared" ref="N67:N130" si="6">+D$23</f>
        <v>4973.4644079554992</v>
      </c>
      <c r="O67" s="30">
        <f t="shared" si="5"/>
        <v>4973.4644079554992</v>
      </c>
      <c r="P67" s="30">
        <f t="shared" si="2"/>
        <v>1509.9767299952769</v>
      </c>
      <c r="Q67" s="96">
        <f t="shared" si="3"/>
        <v>691187.55886204925</v>
      </c>
    </row>
    <row r="68" spans="11:17">
      <c r="K68" s="134">
        <v>63</v>
      </c>
      <c r="L68" s="30">
        <f t="shared" si="4"/>
        <v>691187.55886204925</v>
      </c>
      <c r="M68" s="30">
        <f t="shared" si="0"/>
        <v>3455.9377943102463</v>
      </c>
      <c r="N68" s="30">
        <f t="shared" si="6"/>
        <v>4973.4644079554992</v>
      </c>
      <c r="O68" s="30">
        <f t="shared" si="5"/>
        <v>4973.4644079554992</v>
      </c>
      <c r="P68" s="30">
        <f t="shared" si="2"/>
        <v>1517.5266136452528</v>
      </c>
      <c r="Q68" s="96">
        <f t="shared" si="3"/>
        <v>689670.03224840399</v>
      </c>
    </row>
    <row r="69" spans="11:17">
      <c r="K69" s="134">
        <v>64</v>
      </c>
      <c r="L69" s="30">
        <f t="shared" si="4"/>
        <v>689670.03224840399</v>
      </c>
      <c r="M69" s="30">
        <f t="shared" si="0"/>
        <v>3448.35016124202</v>
      </c>
      <c r="N69" s="30">
        <f t="shared" si="6"/>
        <v>4973.4644079554992</v>
      </c>
      <c r="O69" s="30">
        <f t="shared" si="5"/>
        <v>4973.4644079554992</v>
      </c>
      <c r="P69" s="30">
        <f t="shared" si="2"/>
        <v>1525.1142467134791</v>
      </c>
      <c r="Q69" s="96">
        <f t="shared" si="3"/>
        <v>688144.91800169053</v>
      </c>
    </row>
    <row r="70" spans="11:17">
      <c r="K70" s="134">
        <v>65</v>
      </c>
      <c r="L70" s="30">
        <f t="shared" si="4"/>
        <v>688144.91800169053</v>
      </c>
      <c r="M70" s="30">
        <f t="shared" si="0"/>
        <v>3440.7245900084527</v>
      </c>
      <c r="N70" s="30">
        <f t="shared" si="6"/>
        <v>4973.4644079554992</v>
      </c>
      <c r="O70" s="30">
        <f t="shared" si="5"/>
        <v>4973.4644079554992</v>
      </c>
      <c r="P70" s="30">
        <f t="shared" si="2"/>
        <v>1532.7398179470465</v>
      </c>
      <c r="Q70" s="96">
        <f t="shared" si="3"/>
        <v>686612.1781837435</v>
      </c>
    </row>
    <row r="71" spans="11:17">
      <c r="K71" s="134">
        <v>66</v>
      </c>
      <c r="L71" s="30">
        <f t="shared" si="4"/>
        <v>686612.1781837435</v>
      </c>
      <c r="M71" s="30">
        <f t="shared" ref="M71:M134" si="7">+L71*C$17</f>
        <v>3433.0608909187176</v>
      </c>
      <c r="N71" s="30">
        <f t="shared" si="6"/>
        <v>4973.4644079554992</v>
      </c>
      <c r="O71" s="30">
        <f t="shared" si="5"/>
        <v>4973.4644079554992</v>
      </c>
      <c r="P71" s="30">
        <f t="shared" ref="P71:P134" si="8">+N71-M71</f>
        <v>1540.4035170367815</v>
      </c>
      <c r="Q71" s="96">
        <f t="shared" ref="Q71:Q134" si="9">+L71-P71</f>
        <v>685071.77466670668</v>
      </c>
    </row>
    <row r="72" spans="11:17">
      <c r="K72" s="134">
        <v>67</v>
      </c>
      <c r="L72" s="30">
        <f t="shared" ref="L72:L135" si="10">+Q71</f>
        <v>685071.77466670668</v>
      </c>
      <c r="M72" s="30">
        <f t="shared" si="7"/>
        <v>3425.3588733335337</v>
      </c>
      <c r="N72" s="30">
        <f t="shared" si="6"/>
        <v>4973.4644079554992</v>
      </c>
      <c r="O72" s="30">
        <f t="shared" si="5"/>
        <v>4973.4644079554992</v>
      </c>
      <c r="P72" s="30">
        <f t="shared" si="8"/>
        <v>1548.1055346219655</v>
      </c>
      <c r="Q72" s="96">
        <f t="shared" si="9"/>
        <v>683523.6691320847</v>
      </c>
    </row>
    <row r="73" spans="11:17">
      <c r="K73" s="134">
        <v>68</v>
      </c>
      <c r="L73" s="30">
        <f t="shared" si="10"/>
        <v>683523.6691320847</v>
      </c>
      <c r="M73" s="30">
        <f t="shared" si="7"/>
        <v>3417.6183456604235</v>
      </c>
      <c r="N73" s="30">
        <f t="shared" si="6"/>
        <v>4973.4644079554992</v>
      </c>
      <c r="O73" s="30">
        <f t="shared" si="5"/>
        <v>4973.4644079554992</v>
      </c>
      <c r="P73" s="30">
        <f t="shared" si="8"/>
        <v>1555.8460622950756</v>
      </c>
      <c r="Q73" s="96">
        <f t="shared" si="9"/>
        <v>681967.82306978968</v>
      </c>
    </row>
    <row r="74" spans="11:17">
      <c r="K74" s="134">
        <v>69</v>
      </c>
      <c r="L74" s="30">
        <f t="shared" si="10"/>
        <v>681967.82306978968</v>
      </c>
      <c r="M74" s="30">
        <f t="shared" si="7"/>
        <v>3409.8391153489483</v>
      </c>
      <c r="N74" s="30">
        <f t="shared" si="6"/>
        <v>4973.4644079554992</v>
      </c>
      <c r="O74" s="30">
        <f t="shared" si="5"/>
        <v>4973.4644079554992</v>
      </c>
      <c r="P74" s="30">
        <f t="shared" si="8"/>
        <v>1563.6252926065508</v>
      </c>
      <c r="Q74" s="96">
        <f t="shared" si="9"/>
        <v>680404.19777718314</v>
      </c>
    </row>
    <row r="75" spans="11:17">
      <c r="K75" s="134">
        <v>70</v>
      </c>
      <c r="L75" s="30">
        <f t="shared" si="10"/>
        <v>680404.19777718314</v>
      </c>
      <c r="M75" s="30">
        <f t="shared" si="7"/>
        <v>3402.0209888859158</v>
      </c>
      <c r="N75" s="30">
        <f t="shared" si="6"/>
        <v>4973.4644079554992</v>
      </c>
      <c r="O75" s="30">
        <f t="shared" si="5"/>
        <v>4973.4644079554992</v>
      </c>
      <c r="P75" s="30">
        <f t="shared" si="8"/>
        <v>1571.4434190695833</v>
      </c>
      <c r="Q75" s="96">
        <f t="shared" si="9"/>
        <v>678832.75435811351</v>
      </c>
    </row>
    <row r="76" spans="11:17">
      <c r="K76" s="134">
        <v>71</v>
      </c>
      <c r="L76" s="30">
        <f t="shared" si="10"/>
        <v>678832.75435811351</v>
      </c>
      <c r="M76" s="30">
        <f t="shared" si="7"/>
        <v>3394.1637717905678</v>
      </c>
      <c r="N76" s="30">
        <f t="shared" si="6"/>
        <v>4973.4644079554992</v>
      </c>
      <c r="O76" s="30">
        <f t="shared" si="5"/>
        <v>4973.4644079554992</v>
      </c>
      <c r="P76" s="30">
        <f t="shared" si="8"/>
        <v>1579.3006361649313</v>
      </c>
      <c r="Q76" s="96">
        <f t="shared" si="9"/>
        <v>677253.45372194855</v>
      </c>
    </row>
    <row r="77" spans="11:17">
      <c r="K77" s="134">
        <v>72</v>
      </c>
      <c r="L77" s="30">
        <f t="shared" si="10"/>
        <v>677253.45372194855</v>
      </c>
      <c r="M77" s="30">
        <f t="shared" si="7"/>
        <v>3386.267268609743</v>
      </c>
      <c r="N77" s="30">
        <f t="shared" si="6"/>
        <v>4973.4644079554992</v>
      </c>
      <c r="O77" s="30">
        <f t="shared" si="5"/>
        <v>4973.4644079554992</v>
      </c>
      <c r="P77" s="30">
        <f t="shared" si="8"/>
        <v>1587.1971393457561</v>
      </c>
      <c r="Q77" s="96">
        <f t="shared" si="9"/>
        <v>675666.25658260274</v>
      </c>
    </row>
    <row r="78" spans="11:17">
      <c r="K78" s="134">
        <v>73</v>
      </c>
      <c r="L78" s="30">
        <f t="shared" si="10"/>
        <v>675666.25658260274</v>
      </c>
      <c r="M78" s="30">
        <f t="shared" si="7"/>
        <v>3378.3312829130136</v>
      </c>
      <c r="N78" s="30">
        <f t="shared" si="6"/>
        <v>4973.4644079554992</v>
      </c>
      <c r="O78" s="30">
        <f t="shared" si="5"/>
        <v>4973.4644079554992</v>
      </c>
      <c r="P78" s="30">
        <f t="shared" si="8"/>
        <v>1595.1331250424855</v>
      </c>
      <c r="Q78" s="96">
        <f t="shared" si="9"/>
        <v>674071.1234575602</v>
      </c>
    </row>
    <row r="79" spans="11:17">
      <c r="K79" s="134">
        <v>74</v>
      </c>
      <c r="L79" s="30">
        <f t="shared" si="10"/>
        <v>674071.1234575602</v>
      </c>
      <c r="M79" s="30">
        <f t="shared" si="7"/>
        <v>3370.3556172878011</v>
      </c>
      <c r="N79" s="30">
        <f t="shared" si="6"/>
        <v>4973.4644079554992</v>
      </c>
      <c r="O79" s="30">
        <f t="shared" si="5"/>
        <v>4973.4644079554992</v>
      </c>
      <c r="P79" s="30">
        <f t="shared" si="8"/>
        <v>1603.108790667698</v>
      </c>
      <c r="Q79" s="96">
        <f t="shared" si="9"/>
        <v>672468.01466689247</v>
      </c>
    </row>
    <row r="80" spans="11:17">
      <c r="K80" s="134">
        <v>75</v>
      </c>
      <c r="L80" s="30">
        <f t="shared" si="10"/>
        <v>672468.01466689247</v>
      </c>
      <c r="M80" s="30">
        <f t="shared" si="7"/>
        <v>3362.3400733344624</v>
      </c>
      <c r="N80" s="30">
        <f t="shared" si="6"/>
        <v>4973.4644079554992</v>
      </c>
      <c r="O80" s="30">
        <f t="shared" si="5"/>
        <v>4973.4644079554992</v>
      </c>
      <c r="P80" s="30">
        <f t="shared" si="8"/>
        <v>1611.1243346210367</v>
      </c>
      <c r="Q80" s="96">
        <f t="shared" si="9"/>
        <v>670856.89033227146</v>
      </c>
    </row>
    <row r="81" spans="11:17">
      <c r="K81" s="134">
        <v>76</v>
      </c>
      <c r="L81" s="30">
        <f t="shared" si="10"/>
        <v>670856.89033227146</v>
      </c>
      <c r="M81" s="30">
        <f t="shared" si="7"/>
        <v>3354.2844516613573</v>
      </c>
      <c r="N81" s="30">
        <f t="shared" si="6"/>
        <v>4973.4644079554992</v>
      </c>
      <c r="O81" s="30">
        <f t="shared" si="5"/>
        <v>4973.4644079554992</v>
      </c>
      <c r="P81" s="30">
        <f t="shared" si="8"/>
        <v>1619.1799562941419</v>
      </c>
      <c r="Q81" s="96">
        <f t="shared" si="9"/>
        <v>669237.71037597733</v>
      </c>
    </row>
    <row r="82" spans="11:17">
      <c r="K82" s="134">
        <v>77</v>
      </c>
      <c r="L82" s="30">
        <f t="shared" si="10"/>
        <v>669237.71037597733</v>
      </c>
      <c r="M82" s="30">
        <f t="shared" si="7"/>
        <v>3346.1885518798867</v>
      </c>
      <c r="N82" s="30">
        <f t="shared" si="6"/>
        <v>4973.4644079554992</v>
      </c>
      <c r="O82" s="30">
        <f t="shared" si="5"/>
        <v>4973.4644079554992</v>
      </c>
      <c r="P82" s="30">
        <f t="shared" si="8"/>
        <v>1627.2758560756124</v>
      </c>
      <c r="Q82" s="96">
        <f t="shared" si="9"/>
        <v>667610.43451990176</v>
      </c>
    </row>
    <row r="83" spans="11:17">
      <c r="K83" s="134">
        <v>78</v>
      </c>
      <c r="L83" s="30">
        <f t="shared" si="10"/>
        <v>667610.43451990176</v>
      </c>
      <c r="M83" s="30">
        <f t="shared" si="7"/>
        <v>3338.052172599509</v>
      </c>
      <c r="N83" s="30">
        <f t="shared" si="6"/>
        <v>4973.4644079554992</v>
      </c>
      <c r="O83" s="30">
        <f t="shared" si="5"/>
        <v>4973.4644079554992</v>
      </c>
      <c r="P83" s="30">
        <f t="shared" si="8"/>
        <v>1635.4122353559901</v>
      </c>
      <c r="Q83" s="96">
        <f t="shared" si="9"/>
        <v>665975.02228454582</v>
      </c>
    </row>
    <row r="84" spans="11:17">
      <c r="K84" s="134">
        <v>79</v>
      </c>
      <c r="L84" s="30">
        <f t="shared" si="10"/>
        <v>665975.02228454582</v>
      </c>
      <c r="M84" s="30">
        <f t="shared" si="7"/>
        <v>3329.8751114227293</v>
      </c>
      <c r="N84" s="30">
        <f t="shared" si="6"/>
        <v>4973.4644079554992</v>
      </c>
      <c r="O84" s="30">
        <f t="shared" si="5"/>
        <v>4973.4644079554992</v>
      </c>
      <c r="P84" s="30">
        <f t="shared" si="8"/>
        <v>1643.5892965327698</v>
      </c>
      <c r="Q84" s="96">
        <f t="shared" si="9"/>
        <v>664331.43298801302</v>
      </c>
    </row>
    <row r="85" spans="11:17">
      <c r="K85" s="134">
        <v>80</v>
      </c>
      <c r="L85" s="30">
        <f t="shared" si="10"/>
        <v>664331.43298801302</v>
      </c>
      <c r="M85" s="30">
        <f t="shared" si="7"/>
        <v>3321.6571649400653</v>
      </c>
      <c r="N85" s="30">
        <f t="shared" si="6"/>
        <v>4973.4644079554992</v>
      </c>
      <c r="O85" s="30">
        <f t="shared" si="5"/>
        <v>4973.4644079554992</v>
      </c>
      <c r="P85" s="30">
        <f t="shared" si="8"/>
        <v>1651.8072430154339</v>
      </c>
      <c r="Q85" s="96">
        <f t="shared" si="9"/>
        <v>662679.62574499764</v>
      </c>
    </row>
    <row r="86" spans="11:17">
      <c r="K86" s="134">
        <v>81</v>
      </c>
      <c r="L86" s="30">
        <f t="shared" si="10"/>
        <v>662679.62574499764</v>
      </c>
      <c r="M86" s="30">
        <f t="shared" si="7"/>
        <v>3313.3981287249881</v>
      </c>
      <c r="N86" s="30">
        <f t="shared" si="6"/>
        <v>4973.4644079554992</v>
      </c>
      <c r="O86" s="30">
        <f t="shared" si="5"/>
        <v>4973.4644079554992</v>
      </c>
      <c r="P86" s="30">
        <f t="shared" si="8"/>
        <v>1660.0662792305111</v>
      </c>
      <c r="Q86" s="96">
        <f t="shared" si="9"/>
        <v>661019.55946576712</v>
      </c>
    </row>
    <row r="87" spans="11:17">
      <c r="K87" s="134">
        <v>82</v>
      </c>
      <c r="L87" s="30">
        <f t="shared" si="10"/>
        <v>661019.55946576712</v>
      </c>
      <c r="M87" s="30">
        <f t="shared" si="7"/>
        <v>3305.0977973288354</v>
      </c>
      <c r="N87" s="30">
        <f t="shared" si="6"/>
        <v>4973.4644079554992</v>
      </c>
      <c r="O87" s="30">
        <f t="shared" si="5"/>
        <v>4973.4644079554992</v>
      </c>
      <c r="P87" s="30">
        <f t="shared" si="8"/>
        <v>1668.3666106266637</v>
      </c>
      <c r="Q87" s="96">
        <f t="shared" si="9"/>
        <v>659351.19285514043</v>
      </c>
    </row>
    <row r="88" spans="11:17">
      <c r="K88" s="134">
        <v>83</v>
      </c>
      <c r="L88" s="30">
        <f t="shared" si="10"/>
        <v>659351.19285514043</v>
      </c>
      <c r="M88" s="30">
        <f t="shared" si="7"/>
        <v>3296.7559642757024</v>
      </c>
      <c r="N88" s="30">
        <f t="shared" si="6"/>
        <v>4973.4644079554992</v>
      </c>
      <c r="O88" s="30">
        <f t="shared" si="5"/>
        <v>4973.4644079554992</v>
      </c>
      <c r="P88" s="30">
        <f t="shared" si="8"/>
        <v>1676.7084436797968</v>
      </c>
      <c r="Q88" s="96">
        <f t="shared" si="9"/>
        <v>657674.48441146058</v>
      </c>
    </row>
    <row r="89" spans="11:17">
      <c r="K89" s="134">
        <v>84</v>
      </c>
      <c r="L89" s="30">
        <f t="shared" si="10"/>
        <v>657674.48441146058</v>
      </c>
      <c r="M89" s="30">
        <f t="shared" si="7"/>
        <v>3288.3724220573031</v>
      </c>
      <c r="N89" s="30">
        <f t="shared" si="6"/>
        <v>4973.4644079554992</v>
      </c>
      <c r="O89" s="30">
        <f t="shared" si="5"/>
        <v>4973.4644079554992</v>
      </c>
      <c r="P89" s="30">
        <f t="shared" si="8"/>
        <v>1685.0919858981961</v>
      </c>
      <c r="Q89" s="96">
        <f t="shared" si="9"/>
        <v>655989.39242556237</v>
      </c>
    </row>
    <row r="90" spans="11:17">
      <c r="K90" s="134">
        <v>85</v>
      </c>
      <c r="L90" s="30">
        <f t="shared" si="10"/>
        <v>655989.39242556237</v>
      </c>
      <c r="M90" s="30">
        <f t="shared" si="7"/>
        <v>3279.9469621278117</v>
      </c>
      <c r="N90" s="30">
        <f t="shared" si="6"/>
        <v>4973.4644079554992</v>
      </c>
      <c r="O90" s="30">
        <f t="shared" si="5"/>
        <v>4973.4644079554992</v>
      </c>
      <c r="P90" s="30">
        <f t="shared" si="8"/>
        <v>1693.5174458276874</v>
      </c>
      <c r="Q90" s="96">
        <f t="shared" si="9"/>
        <v>654295.87497973465</v>
      </c>
    </row>
    <row r="91" spans="11:17">
      <c r="K91" s="134">
        <v>86</v>
      </c>
      <c r="L91" s="30">
        <f t="shared" si="10"/>
        <v>654295.87497973465</v>
      </c>
      <c r="M91" s="30">
        <f t="shared" si="7"/>
        <v>3271.4793748986735</v>
      </c>
      <c r="N91" s="30">
        <f t="shared" si="6"/>
        <v>4973.4644079554992</v>
      </c>
      <c r="O91" s="30">
        <f t="shared" si="5"/>
        <v>4973.4644079554992</v>
      </c>
      <c r="P91" s="30">
        <f t="shared" si="8"/>
        <v>1701.9850330568256</v>
      </c>
      <c r="Q91" s="96">
        <f t="shared" si="9"/>
        <v>652593.88994667784</v>
      </c>
    </row>
    <row r="92" spans="11:17">
      <c r="K92" s="134">
        <v>87</v>
      </c>
      <c r="L92" s="30">
        <f t="shared" si="10"/>
        <v>652593.88994667784</v>
      </c>
      <c r="M92" s="30">
        <f t="shared" si="7"/>
        <v>3262.9694497333894</v>
      </c>
      <c r="N92" s="30">
        <f t="shared" si="6"/>
        <v>4973.4644079554992</v>
      </c>
      <c r="O92" s="30">
        <f t="shared" si="5"/>
        <v>4973.4644079554992</v>
      </c>
      <c r="P92" s="30">
        <f t="shared" si="8"/>
        <v>1710.4949582221097</v>
      </c>
      <c r="Q92" s="96">
        <f t="shared" si="9"/>
        <v>650883.39498845569</v>
      </c>
    </row>
    <row r="93" spans="11:17">
      <c r="K93" s="134">
        <v>88</v>
      </c>
      <c r="L93" s="30">
        <f t="shared" si="10"/>
        <v>650883.39498845569</v>
      </c>
      <c r="M93" s="30">
        <f t="shared" si="7"/>
        <v>3254.4169749422786</v>
      </c>
      <c r="N93" s="30">
        <f t="shared" si="6"/>
        <v>4973.4644079554992</v>
      </c>
      <c r="O93" s="30">
        <f t="shared" si="5"/>
        <v>4973.4644079554992</v>
      </c>
      <c r="P93" s="30">
        <f t="shared" si="8"/>
        <v>1719.0474330132206</v>
      </c>
      <c r="Q93" s="96">
        <f t="shared" si="9"/>
        <v>649164.34755544248</v>
      </c>
    </row>
    <row r="94" spans="11:17">
      <c r="K94" s="134">
        <v>89</v>
      </c>
      <c r="L94" s="30">
        <f t="shared" si="10"/>
        <v>649164.34755544248</v>
      </c>
      <c r="M94" s="30">
        <f t="shared" si="7"/>
        <v>3245.8217377772125</v>
      </c>
      <c r="N94" s="30">
        <f t="shared" si="6"/>
        <v>4973.4644079554992</v>
      </c>
      <c r="O94" s="30">
        <f t="shared" si="5"/>
        <v>4973.4644079554992</v>
      </c>
      <c r="P94" s="30">
        <f t="shared" si="8"/>
        <v>1727.6426701782866</v>
      </c>
      <c r="Q94" s="96">
        <f t="shared" si="9"/>
        <v>647436.70488526416</v>
      </c>
    </row>
    <row r="95" spans="11:17">
      <c r="K95" s="134">
        <v>90</v>
      </c>
      <c r="L95" s="30">
        <f t="shared" si="10"/>
        <v>647436.70488526416</v>
      </c>
      <c r="M95" s="30">
        <f t="shared" si="7"/>
        <v>3237.1835244263207</v>
      </c>
      <c r="N95" s="30">
        <f t="shared" si="6"/>
        <v>4973.4644079554992</v>
      </c>
      <c r="O95" s="30">
        <f t="shared" si="5"/>
        <v>4973.4644079554992</v>
      </c>
      <c r="P95" s="30">
        <f t="shared" si="8"/>
        <v>1736.2808835291785</v>
      </c>
      <c r="Q95" s="96">
        <f t="shared" si="9"/>
        <v>645700.42400173494</v>
      </c>
    </row>
    <row r="96" spans="11:17">
      <c r="K96" s="134">
        <v>91</v>
      </c>
      <c r="L96" s="30">
        <f t="shared" si="10"/>
        <v>645700.42400173494</v>
      </c>
      <c r="M96" s="30">
        <f t="shared" si="7"/>
        <v>3228.5021200086749</v>
      </c>
      <c r="N96" s="30">
        <f t="shared" si="6"/>
        <v>4973.4644079554992</v>
      </c>
      <c r="O96" s="30">
        <f t="shared" si="5"/>
        <v>4973.4644079554992</v>
      </c>
      <c r="P96" s="30">
        <f t="shared" si="8"/>
        <v>1744.9622879468243</v>
      </c>
      <c r="Q96" s="96">
        <f t="shared" si="9"/>
        <v>643955.4617137881</v>
      </c>
    </row>
    <row r="97" spans="11:17">
      <c r="K97" s="134">
        <v>92</v>
      </c>
      <c r="L97" s="30">
        <f t="shared" si="10"/>
        <v>643955.4617137881</v>
      </c>
      <c r="M97" s="30">
        <f t="shared" si="7"/>
        <v>3219.7773085689405</v>
      </c>
      <c r="N97" s="30">
        <f t="shared" si="6"/>
        <v>4973.4644079554992</v>
      </c>
      <c r="O97" s="30">
        <f t="shared" si="5"/>
        <v>4973.4644079554992</v>
      </c>
      <c r="P97" s="30">
        <f t="shared" si="8"/>
        <v>1753.6870993865587</v>
      </c>
      <c r="Q97" s="96">
        <f t="shared" si="9"/>
        <v>642201.77461440151</v>
      </c>
    </row>
    <row r="98" spans="11:17">
      <c r="K98" s="134">
        <v>93</v>
      </c>
      <c r="L98" s="30">
        <f t="shared" si="10"/>
        <v>642201.77461440151</v>
      </c>
      <c r="M98" s="30">
        <f t="shared" si="7"/>
        <v>3211.0088730720076</v>
      </c>
      <c r="N98" s="30">
        <f t="shared" si="6"/>
        <v>4973.4644079554992</v>
      </c>
      <c r="O98" s="30">
        <f t="shared" si="5"/>
        <v>4973.4644079554992</v>
      </c>
      <c r="P98" s="30">
        <f t="shared" si="8"/>
        <v>1762.4555348834915</v>
      </c>
      <c r="Q98" s="96">
        <f t="shared" si="9"/>
        <v>640439.31907951797</v>
      </c>
    </row>
    <row r="99" spans="11:17">
      <c r="K99" s="134">
        <v>94</v>
      </c>
      <c r="L99" s="30">
        <f t="shared" si="10"/>
        <v>640439.31907951797</v>
      </c>
      <c r="M99" s="30">
        <f t="shared" si="7"/>
        <v>3202.19659539759</v>
      </c>
      <c r="N99" s="30">
        <f t="shared" si="6"/>
        <v>4973.4644079554992</v>
      </c>
      <c r="O99" s="30">
        <f t="shared" si="5"/>
        <v>4973.4644079554992</v>
      </c>
      <c r="P99" s="30">
        <f t="shared" si="8"/>
        <v>1771.2678125579091</v>
      </c>
      <c r="Q99" s="96">
        <f t="shared" si="9"/>
        <v>638668.0512669601</v>
      </c>
    </row>
    <row r="100" spans="11:17">
      <c r="K100" s="134">
        <v>95</v>
      </c>
      <c r="L100" s="30">
        <f t="shared" si="10"/>
        <v>638668.0512669601</v>
      </c>
      <c r="M100" s="30">
        <f t="shared" si="7"/>
        <v>3193.3402563348004</v>
      </c>
      <c r="N100" s="30">
        <f t="shared" si="6"/>
        <v>4973.4644079554992</v>
      </c>
      <c r="O100" s="30">
        <f t="shared" si="5"/>
        <v>4973.4644079554992</v>
      </c>
      <c r="P100" s="30">
        <f t="shared" si="8"/>
        <v>1780.1241516206987</v>
      </c>
      <c r="Q100" s="96">
        <f t="shared" si="9"/>
        <v>636887.92711533944</v>
      </c>
    </row>
    <row r="101" spans="11:17">
      <c r="K101" s="134">
        <v>96</v>
      </c>
      <c r="L101" s="30">
        <f t="shared" si="10"/>
        <v>636887.92711533944</v>
      </c>
      <c r="M101" s="30">
        <f t="shared" si="7"/>
        <v>3184.4396355766971</v>
      </c>
      <c r="N101" s="30">
        <f t="shared" si="6"/>
        <v>4973.4644079554992</v>
      </c>
      <c r="O101" s="30">
        <f t="shared" si="5"/>
        <v>4973.4644079554992</v>
      </c>
      <c r="P101" s="30">
        <f t="shared" si="8"/>
        <v>1789.024772378802</v>
      </c>
      <c r="Q101" s="96">
        <f t="shared" si="9"/>
        <v>635098.90234296059</v>
      </c>
    </row>
    <row r="102" spans="11:17">
      <c r="K102" s="134">
        <v>97</v>
      </c>
      <c r="L102" s="30">
        <f t="shared" si="10"/>
        <v>635098.90234296059</v>
      </c>
      <c r="M102" s="30">
        <f t="shared" si="7"/>
        <v>3175.4945117148031</v>
      </c>
      <c r="N102" s="30">
        <f t="shared" si="6"/>
        <v>4973.4644079554992</v>
      </c>
      <c r="O102" s="30">
        <f t="shared" si="5"/>
        <v>4973.4644079554992</v>
      </c>
      <c r="P102" s="30">
        <f t="shared" si="8"/>
        <v>1797.969896240696</v>
      </c>
      <c r="Q102" s="96">
        <f t="shared" si="9"/>
        <v>633300.93244671985</v>
      </c>
    </row>
    <row r="103" spans="11:17">
      <c r="K103" s="134">
        <v>98</v>
      </c>
      <c r="L103" s="30">
        <f t="shared" si="10"/>
        <v>633300.93244671985</v>
      </c>
      <c r="M103" s="30">
        <f t="shared" si="7"/>
        <v>3166.5046622335994</v>
      </c>
      <c r="N103" s="30">
        <f t="shared" si="6"/>
        <v>4973.4644079554992</v>
      </c>
      <c r="O103" s="30">
        <f t="shared" si="5"/>
        <v>4973.4644079554992</v>
      </c>
      <c r="P103" s="30">
        <f t="shared" si="8"/>
        <v>1806.9597457218997</v>
      </c>
      <c r="Q103" s="96">
        <f t="shared" si="9"/>
        <v>631493.97270099795</v>
      </c>
    </row>
    <row r="104" spans="11:17">
      <c r="K104" s="134">
        <v>99</v>
      </c>
      <c r="L104" s="30">
        <f t="shared" si="10"/>
        <v>631493.97270099795</v>
      </c>
      <c r="M104" s="30">
        <f t="shared" si="7"/>
        <v>3157.4698635049899</v>
      </c>
      <c r="N104" s="30">
        <f t="shared" si="6"/>
        <v>4973.4644079554992</v>
      </c>
      <c r="O104" s="30">
        <f t="shared" si="5"/>
        <v>4973.4644079554992</v>
      </c>
      <c r="P104" s="30">
        <f t="shared" si="8"/>
        <v>1815.9945444505092</v>
      </c>
      <c r="Q104" s="96">
        <f t="shared" si="9"/>
        <v>629677.97815654741</v>
      </c>
    </row>
    <row r="105" spans="11:17">
      <c r="K105" s="134">
        <v>100</v>
      </c>
      <c r="L105" s="30">
        <f t="shared" si="10"/>
        <v>629677.97815654741</v>
      </c>
      <c r="M105" s="30">
        <f t="shared" si="7"/>
        <v>3148.389890782737</v>
      </c>
      <c r="N105" s="30">
        <f t="shared" si="6"/>
        <v>4973.4644079554992</v>
      </c>
      <c r="O105" s="30">
        <f t="shared" si="5"/>
        <v>4973.4644079554992</v>
      </c>
      <c r="P105" s="30">
        <f t="shared" si="8"/>
        <v>1825.0745171727622</v>
      </c>
      <c r="Q105" s="96">
        <f t="shared" si="9"/>
        <v>627852.90363937465</v>
      </c>
    </row>
    <row r="106" spans="11:17">
      <c r="K106" s="134">
        <v>101</v>
      </c>
      <c r="L106" s="30">
        <f t="shared" si="10"/>
        <v>627852.90363937465</v>
      </c>
      <c r="M106" s="30">
        <f t="shared" si="7"/>
        <v>3139.2645181968733</v>
      </c>
      <c r="N106" s="30">
        <f t="shared" si="6"/>
        <v>4973.4644079554992</v>
      </c>
      <c r="O106" s="30">
        <f t="shared" si="5"/>
        <v>4973.4644079554992</v>
      </c>
      <c r="P106" s="30">
        <f t="shared" si="8"/>
        <v>1834.1998897586259</v>
      </c>
      <c r="Q106" s="96">
        <f t="shared" si="9"/>
        <v>626018.70374961605</v>
      </c>
    </row>
    <row r="107" spans="11:17">
      <c r="K107" s="134">
        <v>102</v>
      </c>
      <c r="L107" s="30">
        <f t="shared" si="10"/>
        <v>626018.70374961605</v>
      </c>
      <c r="M107" s="30">
        <f t="shared" si="7"/>
        <v>3130.0935187480804</v>
      </c>
      <c r="N107" s="30">
        <f t="shared" si="6"/>
        <v>4973.4644079554992</v>
      </c>
      <c r="O107" s="30">
        <f t="shared" si="5"/>
        <v>4973.4644079554992</v>
      </c>
      <c r="P107" s="30">
        <f t="shared" si="8"/>
        <v>1843.3708892074187</v>
      </c>
      <c r="Q107" s="96">
        <f t="shared" si="9"/>
        <v>624175.33286040858</v>
      </c>
    </row>
    <row r="108" spans="11:17">
      <c r="K108" s="134">
        <v>103</v>
      </c>
      <c r="L108" s="30">
        <f t="shared" si="10"/>
        <v>624175.33286040858</v>
      </c>
      <c r="M108" s="30">
        <f t="shared" si="7"/>
        <v>3120.8766643020431</v>
      </c>
      <c r="N108" s="30">
        <f t="shared" si="6"/>
        <v>4973.4644079554992</v>
      </c>
      <c r="O108" s="30">
        <f t="shared" si="5"/>
        <v>4973.4644079554992</v>
      </c>
      <c r="P108" s="30">
        <f t="shared" si="8"/>
        <v>1852.5877436534561</v>
      </c>
      <c r="Q108" s="96">
        <f t="shared" si="9"/>
        <v>622322.74511675513</v>
      </c>
    </row>
    <row r="109" spans="11:17">
      <c r="K109" s="134">
        <v>104</v>
      </c>
      <c r="L109" s="30">
        <f t="shared" si="10"/>
        <v>622322.74511675513</v>
      </c>
      <c r="M109" s="30">
        <f t="shared" si="7"/>
        <v>3111.6137255837757</v>
      </c>
      <c r="N109" s="30">
        <f t="shared" si="6"/>
        <v>4973.4644079554992</v>
      </c>
      <c r="O109" s="30">
        <f t="shared" si="5"/>
        <v>4973.4644079554992</v>
      </c>
      <c r="P109" s="30">
        <f t="shared" si="8"/>
        <v>1861.8506823717235</v>
      </c>
      <c r="Q109" s="96">
        <f t="shared" si="9"/>
        <v>620460.89443438337</v>
      </c>
    </row>
    <row r="110" spans="11:17">
      <c r="K110" s="134">
        <v>105</v>
      </c>
      <c r="L110" s="30">
        <f t="shared" si="10"/>
        <v>620460.89443438337</v>
      </c>
      <c r="M110" s="30">
        <f t="shared" si="7"/>
        <v>3102.304472171917</v>
      </c>
      <c r="N110" s="30">
        <f t="shared" si="6"/>
        <v>4973.4644079554992</v>
      </c>
      <c r="O110" s="30">
        <f t="shared" si="5"/>
        <v>4973.4644079554992</v>
      </c>
      <c r="P110" s="30">
        <f t="shared" si="8"/>
        <v>1871.1599357835821</v>
      </c>
      <c r="Q110" s="96">
        <f t="shared" si="9"/>
        <v>618589.73449859978</v>
      </c>
    </row>
    <row r="111" spans="11:17">
      <c r="K111" s="134">
        <v>106</v>
      </c>
      <c r="L111" s="30">
        <f t="shared" si="10"/>
        <v>618589.73449859978</v>
      </c>
      <c r="M111" s="30">
        <f t="shared" si="7"/>
        <v>3092.9486724929989</v>
      </c>
      <c r="N111" s="30">
        <f t="shared" si="6"/>
        <v>4973.4644079554992</v>
      </c>
      <c r="O111" s="30">
        <f t="shared" si="5"/>
        <v>4973.4644079554992</v>
      </c>
      <c r="P111" s="30">
        <f t="shared" si="8"/>
        <v>1880.5157354625003</v>
      </c>
      <c r="Q111" s="96">
        <f t="shared" si="9"/>
        <v>616709.21876313724</v>
      </c>
    </row>
    <row r="112" spans="11:17">
      <c r="K112" s="134">
        <v>107</v>
      </c>
      <c r="L112" s="30">
        <f t="shared" si="10"/>
        <v>616709.21876313724</v>
      </c>
      <c r="M112" s="30">
        <f t="shared" si="7"/>
        <v>3083.5460938156862</v>
      </c>
      <c r="N112" s="30">
        <f t="shared" si="6"/>
        <v>4973.4644079554992</v>
      </c>
      <c r="O112" s="30">
        <f t="shared" si="5"/>
        <v>4973.4644079554992</v>
      </c>
      <c r="P112" s="30">
        <f t="shared" si="8"/>
        <v>1889.918314139813</v>
      </c>
      <c r="Q112" s="96">
        <f t="shared" si="9"/>
        <v>614819.30044899741</v>
      </c>
    </row>
    <row r="113" spans="11:17">
      <c r="K113" s="134">
        <v>108</v>
      </c>
      <c r="L113" s="30">
        <f t="shared" si="10"/>
        <v>614819.30044899741</v>
      </c>
      <c r="M113" s="30">
        <f t="shared" si="7"/>
        <v>3074.0965022449873</v>
      </c>
      <c r="N113" s="30">
        <f t="shared" si="6"/>
        <v>4973.4644079554992</v>
      </c>
      <c r="O113" s="30">
        <f t="shared" si="5"/>
        <v>4973.4644079554992</v>
      </c>
      <c r="P113" s="30">
        <f t="shared" si="8"/>
        <v>1899.3679057105119</v>
      </c>
      <c r="Q113" s="96">
        <f t="shared" si="9"/>
        <v>612919.93254328694</v>
      </c>
    </row>
    <row r="114" spans="11:17">
      <c r="K114" s="134">
        <v>109</v>
      </c>
      <c r="L114" s="30">
        <f t="shared" si="10"/>
        <v>612919.93254328694</v>
      </c>
      <c r="M114" s="30">
        <f t="shared" si="7"/>
        <v>3064.599662716435</v>
      </c>
      <c r="N114" s="30">
        <f t="shared" si="6"/>
        <v>4973.4644079554992</v>
      </c>
      <c r="O114" s="30">
        <f t="shared" si="5"/>
        <v>4973.4644079554992</v>
      </c>
      <c r="P114" s="30">
        <f t="shared" si="8"/>
        <v>1908.8647452390642</v>
      </c>
      <c r="Q114" s="96">
        <f t="shared" si="9"/>
        <v>611011.06779804791</v>
      </c>
    </row>
    <row r="115" spans="11:17">
      <c r="K115" s="134">
        <v>110</v>
      </c>
      <c r="L115" s="30">
        <f t="shared" si="10"/>
        <v>611011.06779804791</v>
      </c>
      <c r="M115" s="30">
        <f t="shared" si="7"/>
        <v>3055.0553389902398</v>
      </c>
      <c r="N115" s="30">
        <f t="shared" si="6"/>
        <v>4973.4644079554992</v>
      </c>
      <c r="O115" s="30">
        <f t="shared" si="5"/>
        <v>4973.4644079554992</v>
      </c>
      <c r="P115" s="30">
        <f t="shared" si="8"/>
        <v>1918.4090689652594</v>
      </c>
      <c r="Q115" s="96">
        <f t="shared" si="9"/>
        <v>609092.65872908267</v>
      </c>
    </row>
    <row r="116" spans="11:17">
      <c r="K116" s="134">
        <v>111</v>
      </c>
      <c r="L116" s="30">
        <f t="shared" si="10"/>
        <v>609092.65872908267</v>
      </c>
      <c r="M116" s="30">
        <f t="shared" si="7"/>
        <v>3045.4632936454136</v>
      </c>
      <c r="N116" s="30">
        <f t="shared" si="6"/>
        <v>4973.4644079554992</v>
      </c>
      <c r="O116" s="30">
        <f t="shared" si="5"/>
        <v>4973.4644079554992</v>
      </c>
      <c r="P116" s="30">
        <f t="shared" si="8"/>
        <v>1928.0011143100855</v>
      </c>
      <c r="Q116" s="96">
        <f t="shared" si="9"/>
        <v>607164.65761477256</v>
      </c>
    </row>
    <row r="117" spans="11:17">
      <c r="K117" s="134">
        <v>112</v>
      </c>
      <c r="L117" s="30">
        <f t="shared" si="10"/>
        <v>607164.65761477256</v>
      </c>
      <c r="M117" s="30">
        <f t="shared" si="7"/>
        <v>3035.8232880738628</v>
      </c>
      <c r="N117" s="30">
        <f t="shared" si="6"/>
        <v>4973.4644079554992</v>
      </c>
      <c r="O117" s="30">
        <f t="shared" si="5"/>
        <v>4973.4644079554992</v>
      </c>
      <c r="P117" s="30">
        <f t="shared" si="8"/>
        <v>1937.6411198816363</v>
      </c>
      <c r="Q117" s="96">
        <f t="shared" si="9"/>
        <v>605227.01649489091</v>
      </c>
    </row>
    <row r="118" spans="11:17">
      <c r="K118" s="134">
        <v>113</v>
      </c>
      <c r="L118" s="30">
        <f t="shared" si="10"/>
        <v>605227.01649489091</v>
      </c>
      <c r="M118" s="30">
        <f t="shared" si="7"/>
        <v>3026.1350824744545</v>
      </c>
      <c r="N118" s="30">
        <f t="shared" si="6"/>
        <v>4973.4644079554992</v>
      </c>
      <c r="O118" s="30">
        <f t="shared" si="5"/>
        <v>4973.4644079554992</v>
      </c>
      <c r="P118" s="30">
        <f t="shared" si="8"/>
        <v>1947.3293254810446</v>
      </c>
      <c r="Q118" s="96">
        <f t="shared" si="9"/>
        <v>603279.68716940982</v>
      </c>
    </row>
    <row r="119" spans="11:17">
      <c r="K119" s="134">
        <v>114</v>
      </c>
      <c r="L119" s="30">
        <f t="shared" si="10"/>
        <v>603279.68716940982</v>
      </c>
      <c r="M119" s="30">
        <f t="shared" si="7"/>
        <v>3016.3984358470493</v>
      </c>
      <c r="N119" s="30">
        <f t="shared" si="6"/>
        <v>4973.4644079554992</v>
      </c>
      <c r="O119" s="30">
        <f t="shared" si="5"/>
        <v>4973.4644079554992</v>
      </c>
      <c r="P119" s="30">
        <f t="shared" si="8"/>
        <v>1957.0659721084498</v>
      </c>
      <c r="Q119" s="96">
        <f t="shared" si="9"/>
        <v>601322.62119730143</v>
      </c>
    </row>
    <row r="120" spans="11:17">
      <c r="K120" s="134">
        <v>115</v>
      </c>
      <c r="L120" s="30">
        <f t="shared" si="10"/>
        <v>601322.62119730143</v>
      </c>
      <c r="M120" s="30">
        <f t="shared" si="7"/>
        <v>3006.613105986507</v>
      </c>
      <c r="N120" s="30">
        <f t="shared" si="6"/>
        <v>4973.4644079554992</v>
      </c>
      <c r="O120" s="30">
        <f t="shared" si="5"/>
        <v>4973.4644079554992</v>
      </c>
      <c r="P120" s="30">
        <f t="shared" si="8"/>
        <v>1966.8513019689922</v>
      </c>
      <c r="Q120" s="96">
        <f t="shared" si="9"/>
        <v>599355.7698953324</v>
      </c>
    </row>
    <row r="121" spans="11:17">
      <c r="K121" s="134">
        <v>116</v>
      </c>
      <c r="L121" s="30">
        <f t="shared" si="10"/>
        <v>599355.7698953324</v>
      </c>
      <c r="M121" s="30">
        <f t="shared" si="7"/>
        <v>2996.7788494766619</v>
      </c>
      <c r="N121" s="30">
        <f t="shared" si="6"/>
        <v>4973.4644079554992</v>
      </c>
      <c r="O121" s="30">
        <f t="shared" si="5"/>
        <v>4973.4644079554992</v>
      </c>
      <c r="P121" s="30">
        <f t="shared" si="8"/>
        <v>1976.6855584788373</v>
      </c>
      <c r="Q121" s="96">
        <f t="shared" si="9"/>
        <v>597379.08433685359</v>
      </c>
    </row>
    <row r="122" spans="11:17">
      <c r="K122" s="134">
        <v>117</v>
      </c>
      <c r="L122" s="30">
        <f t="shared" si="10"/>
        <v>597379.08433685359</v>
      </c>
      <c r="M122" s="30">
        <f t="shared" si="7"/>
        <v>2986.8954216842681</v>
      </c>
      <c r="N122" s="30">
        <f t="shared" si="6"/>
        <v>4973.4644079554992</v>
      </c>
      <c r="O122" s="30">
        <f t="shared" si="5"/>
        <v>4973.4644079554992</v>
      </c>
      <c r="P122" s="30">
        <f t="shared" si="8"/>
        <v>1986.5689862712311</v>
      </c>
      <c r="Q122" s="96">
        <f t="shared" si="9"/>
        <v>595392.51535058231</v>
      </c>
    </row>
    <row r="123" spans="11:17">
      <c r="K123" s="134">
        <v>118</v>
      </c>
      <c r="L123" s="30">
        <f t="shared" si="10"/>
        <v>595392.51535058231</v>
      </c>
      <c r="M123" s="30">
        <f t="shared" si="7"/>
        <v>2976.9625767529114</v>
      </c>
      <c r="N123" s="30">
        <f t="shared" si="6"/>
        <v>4973.4644079554992</v>
      </c>
      <c r="O123" s="30">
        <f t="shared" si="5"/>
        <v>4973.4644079554992</v>
      </c>
      <c r="P123" s="30">
        <f t="shared" si="8"/>
        <v>1996.5018312025877</v>
      </c>
      <c r="Q123" s="96">
        <f t="shared" si="9"/>
        <v>593396.01351937978</v>
      </c>
    </row>
    <row r="124" spans="11:17">
      <c r="K124" s="134">
        <v>119</v>
      </c>
      <c r="L124" s="30">
        <f t="shared" si="10"/>
        <v>593396.01351937978</v>
      </c>
      <c r="M124" s="30">
        <f t="shared" si="7"/>
        <v>2966.9800675968991</v>
      </c>
      <c r="N124" s="30">
        <f t="shared" si="6"/>
        <v>4973.4644079554992</v>
      </c>
      <c r="O124" s="30">
        <f t="shared" si="5"/>
        <v>4973.4644079554992</v>
      </c>
      <c r="P124" s="30">
        <f t="shared" si="8"/>
        <v>2006.4843403586001</v>
      </c>
      <c r="Q124" s="96">
        <f t="shared" si="9"/>
        <v>591389.52917902113</v>
      </c>
    </row>
    <row r="125" spans="11:17">
      <c r="K125" s="134">
        <v>120</v>
      </c>
      <c r="L125" s="30">
        <f t="shared" si="10"/>
        <v>591389.52917902113</v>
      </c>
      <c r="M125" s="30">
        <f t="shared" si="7"/>
        <v>2956.9476458951058</v>
      </c>
      <c r="N125" s="30">
        <f t="shared" si="6"/>
        <v>4973.4644079554992</v>
      </c>
      <c r="O125" s="30">
        <f t="shared" si="5"/>
        <v>4973.4644079554992</v>
      </c>
      <c r="P125" s="30">
        <f t="shared" si="8"/>
        <v>2016.5167620603934</v>
      </c>
      <c r="Q125" s="96">
        <f t="shared" si="9"/>
        <v>589373.01241696079</v>
      </c>
    </row>
    <row r="126" spans="11:17">
      <c r="K126" s="134">
        <v>121</v>
      </c>
      <c r="L126" s="30">
        <f t="shared" si="10"/>
        <v>589373.01241696079</v>
      </c>
      <c r="M126" s="30">
        <f t="shared" si="7"/>
        <v>2946.8650620848039</v>
      </c>
      <c r="N126" s="30">
        <f t="shared" si="6"/>
        <v>4973.4644079554992</v>
      </c>
      <c r="O126" s="30">
        <f t="shared" si="5"/>
        <v>4973.4644079554992</v>
      </c>
      <c r="P126" s="30">
        <f t="shared" si="8"/>
        <v>2026.5993458706953</v>
      </c>
      <c r="Q126" s="96">
        <f t="shared" si="9"/>
        <v>587346.41307109012</v>
      </c>
    </row>
    <row r="127" spans="11:17">
      <c r="K127" s="134">
        <v>122</v>
      </c>
      <c r="L127" s="30">
        <f t="shared" si="10"/>
        <v>587346.41307109012</v>
      </c>
      <c r="M127" s="30">
        <f t="shared" si="7"/>
        <v>2936.7320653554507</v>
      </c>
      <c r="N127" s="30">
        <f t="shared" si="6"/>
        <v>4973.4644079554992</v>
      </c>
      <c r="O127" s="30">
        <f t="shared" si="5"/>
        <v>4973.4644079554992</v>
      </c>
      <c r="P127" s="30">
        <f t="shared" si="8"/>
        <v>2036.7323426000485</v>
      </c>
      <c r="Q127" s="96">
        <f t="shared" si="9"/>
        <v>585309.68072849012</v>
      </c>
    </row>
    <row r="128" spans="11:17">
      <c r="K128" s="134">
        <v>123</v>
      </c>
      <c r="L128" s="30">
        <f t="shared" si="10"/>
        <v>585309.68072849012</v>
      </c>
      <c r="M128" s="30">
        <f t="shared" si="7"/>
        <v>2926.5484036424505</v>
      </c>
      <c r="N128" s="30">
        <f t="shared" si="6"/>
        <v>4973.4644079554992</v>
      </c>
      <c r="O128" s="30">
        <f t="shared" si="5"/>
        <v>4973.4644079554992</v>
      </c>
      <c r="P128" s="30">
        <f t="shared" si="8"/>
        <v>2046.9160043130487</v>
      </c>
      <c r="Q128" s="96">
        <f t="shared" si="9"/>
        <v>583262.76472417708</v>
      </c>
    </row>
    <row r="129" spans="11:17">
      <c r="K129" s="134">
        <v>124</v>
      </c>
      <c r="L129" s="30">
        <f t="shared" si="10"/>
        <v>583262.76472417708</v>
      </c>
      <c r="M129" s="30">
        <f t="shared" si="7"/>
        <v>2916.3138236208856</v>
      </c>
      <c r="N129" s="30">
        <f t="shared" si="6"/>
        <v>4973.4644079554992</v>
      </c>
      <c r="O129" s="30">
        <f t="shared" si="5"/>
        <v>4973.4644079554992</v>
      </c>
      <c r="P129" s="30">
        <f t="shared" si="8"/>
        <v>2057.1505843346135</v>
      </c>
      <c r="Q129" s="96">
        <f t="shared" si="9"/>
        <v>581205.61413984245</v>
      </c>
    </row>
    <row r="130" spans="11:17">
      <c r="K130" s="134">
        <v>125</v>
      </c>
      <c r="L130" s="30">
        <f t="shared" si="10"/>
        <v>581205.61413984245</v>
      </c>
      <c r="M130" s="30">
        <f t="shared" si="7"/>
        <v>2906.0280706992121</v>
      </c>
      <c r="N130" s="30">
        <f t="shared" si="6"/>
        <v>4973.4644079554992</v>
      </c>
      <c r="O130" s="30">
        <f t="shared" ref="O130:O193" si="11">+N130</f>
        <v>4973.4644079554992</v>
      </c>
      <c r="P130" s="30">
        <f t="shared" si="8"/>
        <v>2067.4363372562871</v>
      </c>
      <c r="Q130" s="96">
        <f t="shared" si="9"/>
        <v>579138.17780258611</v>
      </c>
    </row>
    <row r="131" spans="11:17">
      <c r="K131" s="134">
        <v>126</v>
      </c>
      <c r="L131" s="30">
        <f t="shared" si="10"/>
        <v>579138.17780258611</v>
      </c>
      <c r="M131" s="30">
        <f t="shared" si="7"/>
        <v>2895.6908890129307</v>
      </c>
      <c r="N131" s="30">
        <f t="shared" ref="N131:N194" si="12">+D$23</f>
        <v>4973.4644079554992</v>
      </c>
      <c r="O131" s="30">
        <f t="shared" si="11"/>
        <v>4973.4644079554992</v>
      </c>
      <c r="P131" s="30">
        <f t="shared" si="8"/>
        <v>2077.7735189425684</v>
      </c>
      <c r="Q131" s="96">
        <f t="shared" si="9"/>
        <v>577060.40428364358</v>
      </c>
    </row>
    <row r="132" spans="11:17">
      <c r="K132" s="134">
        <v>127</v>
      </c>
      <c r="L132" s="30">
        <f t="shared" si="10"/>
        <v>577060.40428364358</v>
      </c>
      <c r="M132" s="30">
        <f t="shared" si="7"/>
        <v>2885.3020214182179</v>
      </c>
      <c r="N132" s="30">
        <f t="shared" si="12"/>
        <v>4973.4644079554992</v>
      </c>
      <c r="O132" s="30">
        <f t="shared" si="11"/>
        <v>4973.4644079554992</v>
      </c>
      <c r="P132" s="30">
        <f t="shared" si="8"/>
        <v>2088.1623865372812</v>
      </c>
      <c r="Q132" s="96">
        <f t="shared" si="9"/>
        <v>574972.24189710629</v>
      </c>
    </row>
    <row r="133" spans="11:17">
      <c r="K133" s="134">
        <v>128</v>
      </c>
      <c r="L133" s="30">
        <f t="shared" si="10"/>
        <v>574972.24189710629</v>
      </c>
      <c r="M133" s="30">
        <f t="shared" si="7"/>
        <v>2874.8612094855316</v>
      </c>
      <c r="N133" s="30">
        <f t="shared" si="12"/>
        <v>4973.4644079554992</v>
      </c>
      <c r="O133" s="30">
        <f t="shared" si="11"/>
        <v>4973.4644079554992</v>
      </c>
      <c r="P133" s="30">
        <f t="shared" si="8"/>
        <v>2098.6031984699675</v>
      </c>
      <c r="Q133" s="96">
        <f t="shared" si="9"/>
        <v>572873.63869863632</v>
      </c>
    </row>
    <row r="134" spans="11:17">
      <c r="K134" s="134">
        <v>129</v>
      </c>
      <c r="L134" s="30">
        <f t="shared" si="10"/>
        <v>572873.63869863632</v>
      </c>
      <c r="M134" s="30">
        <f t="shared" si="7"/>
        <v>2864.3681934931815</v>
      </c>
      <c r="N134" s="30">
        <f t="shared" si="12"/>
        <v>4973.4644079554992</v>
      </c>
      <c r="O134" s="30">
        <f t="shared" si="11"/>
        <v>4973.4644079554992</v>
      </c>
      <c r="P134" s="30">
        <f t="shared" si="8"/>
        <v>2109.0962144623177</v>
      </c>
      <c r="Q134" s="96">
        <f t="shared" si="9"/>
        <v>570764.54248417402</v>
      </c>
    </row>
    <row r="135" spans="11:17">
      <c r="K135" s="134">
        <v>130</v>
      </c>
      <c r="L135" s="30">
        <f t="shared" si="10"/>
        <v>570764.54248417402</v>
      </c>
      <c r="M135" s="30">
        <f t="shared" ref="M135:M198" si="13">+L135*C$17</f>
        <v>2853.8227124208702</v>
      </c>
      <c r="N135" s="30">
        <f t="shared" si="12"/>
        <v>4973.4644079554992</v>
      </c>
      <c r="O135" s="30">
        <f t="shared" si="11"/>
        <v>4973.4644079554992</v>
      </c>
      <c r="P135" s="30">
        <f t="shared" ref="P135:P198" si="14">+N135-M135</f>
        <v>2119.641695534629</v>
      </c>
      <c r="Q135" s="96">
        <f t="shared" ref="Q135:Q198" si="15">+L135-P135</f>
        <v>568644.90078863944</v>
      </c>
    </row>
    <row r="136" spans="11:17">
      <c r="K136" s="134">
        <v>131</v>
      </c>
      <c r="L136" s="30">
        <f t="shared" ref="L136:L199" si="16">+Q135</f>
        <v>568644.90078863944</v>
      </c>
      <c r="M136" s="30">
        <f t="shared" si="13"/>
        <v>2843.2245039431973</v>
      </c>
      <c r="N136" s="30">
        <f t="shared" si="12"/>
        <v>4973.4644079554992</v>
      </c>
      <c r="O136" s="30">
        <f t="shared" si="11"/>
        <v>4973.4644079554992</v>
      </c>
      <c r="P136" s="30">
        <f t="shared" si="14"/>
        <v>2130.2399040123018</v>
      </c>
      <c r="Q136" s="96">
        <f t="shared" si="15"/>
        <v>566514.66088462714</v>
      </c>
    </row>
    <row r="137" spans="11:17">
      <c r="K137" s="134">
        <v>132</v>
      </c>
      <c r="L137" s="30">
        <f t="shared" si="16"/>
        <v>566514.66088462714</v>
      </c>
      <c r="M137" s="30">
        <f t="shared" si="13"/>
        <v>2832.5733044231356</v>
      </c>
      <c r="N137" s="30">
        <f t="shared" si="12"/>
        <v>4973.4644079554992</v>
      </c>
      <c r="O137" s="30">
        <f t="shared" si="11"/>
        <v>4973.4644079554992</v>
      </c>
      <c r="P137" s="30">
        <f t="shared" si="14"/>
        <v>2140.8911035323636</v>
      </c>
      <c r="Q137" s="96">
        <f t="shared" si="15"/>
        <v>564373.76978109474</v>
      </c>
    </row>
    <row r="138" spans="11:17">
      <c r="K138" s="134">
        <v>133</v>
      </c>
      <c r="L138" s="30">
        <f t="shared" si="16"/>
        <v>564373.76978109474</v>
      </c>
      <c r="M138" s="30">
        <f t="shared" si="13"/>
        <v>2821.8688489054739</v>
      </c>
      <c r="N138" s="30">
        <f t="shared" si="12"/>
        <v>4973.4644079554992</v>
      </c>
      <c r="O138" s="30">
        <f t="shared" si="11"/>
        <v>4973.4644079554992</v>
      </c>
      <c r="P138" s="30">
        <f t="shared" si="14"/>
        <v>2151.5955590500253</v>
      </c>
      <c r="Q138" s="96">
        <f t="shared" si="15"/>
        <v>562222.17422204476</v>
      </c>
    </row>
    <row r="139" spans="11:17">
      <c r="K139" s="134">
        <v>134</v>
      </c>
      <c r="L139" s="30">
        <f t="shared" si="16"/>
        <v>562222.17422204476</v>
      </c>
      <c r="M139" s="30">
        <f t="shared" si="13"/>
        <v>2811.1108711102238</v>
      </c>
      <c r="N139" s="30">
        <f t="shared" si="12"/>
        <v>4973.4644079554992</v>
      </c>
      <c r="O139" s="30">
        <f t="shared" si="11"/>
        <v>4973.4644079554992</v>
      </c>
      <c r="P139" s="30">
        <f t="shared" si="14"/>
        <v>2162.3535368452754</v>
      </c>
      <c r="Q139" s="96">
        <f t="shared" si="15"/>
        <v>560059.82068519946</v>
      </c>
    </row>
    <row r="140" spans="11:17">
      <c r="K140" s="134">
        <v>135</v>
      </c>
      <c r="L140" s="30">
        <f t="shared" si="16"/>
        <v>560059.82068519946</v>
      </c>
      <c r="M140" s="30">
        <f t="shared" si="13"/>
        <v>2800.2991034259971</v>
      </c>
      <c r="N140" s="30">
        <f t="shared" si="12"/>
        <v>4973.4644079554992</v>
      </c>
      <c r="O140" s="30">
        <f t="shared" si="11"/>
        <v>4973.4644079554992</v>
      </c>
      <c r="P140" s="30">
        <f t="shared" si="14"/>
        <v>2173.165304529502</v>
      </c>
      <c r="Q140" s="96">
        <f t="shared" si="15"/>
        <v>557886.65538066998</v>
      </c>
    </row>
    <row r="141" spans="11:17">
      <c r="K141" s="134">
        <v>136</v>
      </c>
      <c r="L141" s="30">
        <f t="shared" si="16"/>
        <v>557886.65538066998</v>
      </c>
      <c r="M141" s="30">
        <f t="shared" si="13"/>
        <v>2789.4332769033499</v>
      </c>
      <c r="N141" s="30">
        <f t="shared" si="12"/>
        <v>4973.4644079554992</v>
      </c>
      <c r="O141" s="30">
        <f t="shared" si="11"/>
        <v>4973.4644079554992</v>
      </c>
      <c r="P141" s="30">
        <f t="shared" si="14"/>
        <v>2184.0311310521492</v>
      </c>
      <c r="Q141" s="96">
        <f t="shared" si="15"/>
        <v>555702.6242496178</v>
      </c>
    </row>
    <row r="142" spans="11:17">
      <c r="K142" s="134">
        <v>137</v>
      </c>
      <c r="L142" s="30">
        <f t="shared" si="16"/>
        <v>555702.6242496178</v>
      </c>
      <c r="M142" s="30">
        <f t="shared" si="13"/>
        <v>2778.5131212480892</v>
      </c>
      <c r="N142" s="30">
        <f t="shared" si="12"/>
        <v>4973.4644079554992</v>
      </c>
      <c r="O142" s="30">
        <f t="shared" si="11"/>
        <v>4973.4644079554992</v>
      </c>
      <c r="P142" s="30">
        <f t="shared" si="14"/>
        <v>2194.95128670741</v>
      </c>
      <c r="Q142" s="96">
        <f t="shared" si="15"/>
        <v>553507.67296291038</v>
      </c>
    </row>
    <row r="143" spans="11:17">
      <c r="K143" s="134">
        <v>138</v>
      </c>
      <c r="L143" s="30">
        <f t="shared" si="16"/>
        <v>553507.67296291038</v>
      </c>
      <c r="M143" s="30">
        <f t="shared" si="13"/>
        <v>2767.5383648145521</v>
      </c>
      <c r="N143" s="30">
        <f t="shared" si="12"/>
        <v>4973.4644079554992</v>
      </c>
      <c r="O143" s="30">
        <f t="shared" si="11"/>
        <v>4973.4644079554992</v>
      </c>
      <c r="P143" s="30">
        <f t="shared" si="14"/>
        <v>2205.9260431409471</v>
      </c>
      <c r="Q143" s="96">
        <f t="shared" si="15"/>
        <v>551301.74691976944</v>
      </c>
    </row>
    <row r="144" spans="11:17">
      <c r="K144" s="134">
        <v>139</v>
      </c>
      <c r="L144" s="30">
        <f t="shared" si="16"/>
        <v>551301.74691976944</v>
      </c>
      <c r="M144" s="30">
        <f t="shared" si="13"/>
        <v>2756.5087345988472</v>
      </c>
      <c r="N144" s="30">
        <f t="shared" si="12"/>
        <v>4973.4644079554992</v>
      </c>
      <c r="O144" s="30">
        <f t="shared" si="11"/>
        <v>4973.4644079554992</v>
      </c>
      <c r="P144" s="30">
        <f t="shared" si="14"/>
        <v>2216.9556733566519</v>
      </c>
      <c r="Q144" s="96">
        <f t="shared" si="15"/>
        <v>549084.79124641279</v>
      </c>
    </row>
    <row r="145" spans="11:17">
      <c r="K145" s="134">
        <v>140</v>
      </c>
      <c r="L145" s="30">
        <f t="shared" si="16"/>
        <v>549084.79124641279</v>
      </c>
      <c r="M145" s="30">
        <f t="shared" si="13"/>
        <v>2745.423956232064</v>
      </c>
      <c r="N145" s="30">
        <f t="shared" si="12"/>
        <v>4973.4644079554992</v>
      </c>
      <c r="O145" s="30">
        <f t="shared" si="11"/>
        <v>4973.4644079554992</v>
      </c>
      <c r="P145" s="30">
        <f t="shared" si="14"/>
        <v>2228.0404517234351</v>
      </c>
      <c r="Q145" s="96">
        <f t="shared" si="15"/>
        <v>546856.7507946894</v>
      </c>
    </row>
    <row r="146" spans="11:17">
      <c r="K146" s="134">
        <v>141</v>
      </c>
      <c r="L146" s="30">
        <f t="shared" si="16"/>
        <v>546856.7507946894</v>
      </c>
      <c r="M146" s="30">
        <f t="shared" si="13"/>
        <v>2734.2837539734469</v>
      </c>
      <c r="N146" s="30">
        <f t="shared" si="12"/>
        <v>4973.4644079554992</v>
      </c>
      <c r="O146" s="30">
        <f t="shared" si="11"/>
        <v>4973.4644079554992</v>
      </c>
      <c r="P146" s="30">
        <f t="shared" si="14"/>
        <v>2239.1806539820523</v>
      </c>
      <c r="Q146" s="96">
        <f t="shared" si="15"/>
        <v>544617.57014070731</v>
      </c>
    </row>
    <row r="147" spans="11:17">
      <c r="K147" s="134">
        <v>142</v>
      </c>
      <c r="L147" s="30">
        <f t="shared" si="16"/>
        <v>544617.57014070731</v>
      </c>
      <c r="M147" s="30">
        <f t="shared" si="13"/>
        <v>2723.0878507035368</v>
      </c>
      <c r="N147" s="30">
        <f t="shared" si="12"/>
        <v>4973.4644079554992</v>
      </c>
      <c r="O147" s="30">
        <f t="shared" si="11"/>
        <v>4973.4644079554992</v>
      </c>
      <c r="P147" s="30">
        <f t="shared" si="14"/>
        <v>2250.3765572519624</v>
      </c>
      <c r="Q147" s="96">
        <f t="shared" si="15"/>
        <v>542367.1935834554</v>
      </c>
    </row>
    <row r="148" spans="11:17">
      <c r="K148" s="134">
        <v>143</v>
      </c>
      <c r="L148" s="30">
        <f t="shared" si="16"/>
        <v>542367.1935834554</v>
      </c>
      <c r="M148" s="30">
        <f t="shared" si="13"/>
        <v>2711.8359679172772</v>
      </c>
      <c r="N148" s="30">
        <f t="shared" si="12"/>
        <v>4973.4644079554992</v>
      </c>
      <c r="O148" s="30">
        <f t="shared" si="11"/>
        <v>4973.4644079554992</v>
      </c>
      <c r="P148" s="30">
        <f t="shared" si="14"/>
        <v>2261.6284400382219</v>
      </c>
      <c r="Q148" s="96">
        <f t="shared" si="15"/>
        <v>540105.56514341722</v>
      </c>
    </row>
    <row r="149" spans="11:17">
      <c r="K149" s="134">
        <v>144</v>
      </c>
      <c r="L149" s="30">
        <f t="shared" si="16"/>
        <v>540105.56514341722</v>
      </c>
      <c r="M149" s="30">
        <f t="shared" si="13"/>
        <v>2700.5278257170862</v>
      </c>
      <c r="N149" s="30">
        <f t="shared" si="12"/>
        <v>4973.4644079554992</v>
      </c>
      <c r="O149" s="30">
        <f t="shared" si="11"/>
        <v>4973.4644079554992</v>
      </c>
      <c r="P149" s="30">
        <f t="shared" si="14"/>
        <v>2272.9365822384129</v>
      </c>
      <c r="Q149" s="96">
        <f t="shared" si="15"/>
        <v>537832.6285611788</v>
      </c>
    </row>
    <row r="150" spans="11:17">
      <c r="K150" s="134">
        <v>145</v>
      </c>
      <c r="L150" s="30">
        <f t="shared" si="16"/>
        <v>537832.6285611788</v>
      </c>
      <c r="M150" s="30">
        <f t="shared" si="13"/>
        <v>2689.163142805894</v>
      </c>
      <c r="N150" s="30">
        <f t="shared" si="12"/>
        <v>4973.4644079554992</v>
      </c>
      <c r="O150" s="30">
        <f t="shared" si="11"/>
        <v>4973.4644079554992</v>
      </c>
      <c r="P150" s="30">
        <f t="shared" si="14"/>
        <v>2284.3012651496051</v>
      </c>
      <c r="Q150" s="96">
        <f t="shared" si="15"/>
        <v>535548.32729602919</v>
      </c>
    </row>
    <row r="151" spans="11:17">
      <c r="K151" s="134">
        <v>146</v>
      </c>
      <c r="L151" s="30">
        <f t="shared" si="16"/>
        <v>535548.32729602919</v>
      </c>
      <c r="M151" s="30">
        <f t="shared" si="13"/>
        <v>2677.7416364801461</v>
      </c>
      <c r="N151" s="30">
        <f t="shared" si="12"/>
        <v>4973.4644079554992</v>
      </c>
      <c r="O151" s="30">
        <f t="shared" si="11"/>
        <v>4973.4644079554992</v>
      </c>
      <c r="P151" s="30">
        <f t="shared" si="14"/>
        <v>2295.7227714753531</v>
      </c>
      <c r="Q151" s="96">
        <f t="shared" si="15"/>
        <v>533252.60452455387</v>
      </c>
    </row>
    <row r="152" spans="11:17">
      <c r="K152" s="134">
        <v>147</v>
      </c>
      <c r="L152" s="30">
        <f t="shared" si="16"/>
        <v>533252.60452455387</v>
      </c>
      <c r="M152" s="30">
        <f t="shared" si="13"/>
        <v>2666.2630226227693</v>
      </c>
      <c r="N152" s="30">
        <f t="shared" si="12"/>
        <v>4973.4644079554992</v>
      </c>
      <c r="O152" s="30">
        <f t="shared" si="11"/>
        <v>4973.4644079554992</v>
      </c>
      <c r="P152" s="30">
        <f t="shared" si="14"/>
        <v>2307.2013853327298</v>
      </c>
      <c r="Q152" s="96">
        <f t="shared" si="15"/>
        <v>530945.40313922113</v>
      </c>
    </row>
    <row r="153" spans="11:17">
      <c r="K153" s="134">
        <v>148</v>
      </c>
      <c r="L153" s="30">
        <f t="shared" si="16"/>
        <v>530945.40313922113</v>
      </c>
      <c r="M153" s="30">
        <f t="shared" si="13"/>
        <v>2654.7270156961058</v>
      </c>
      <c r="N153" s="30">
        <f t="shared" si="12"/>
        <v>4973.4644079554992</v>
      </c>
      <c r="O153" s="30">
        <f t="shared" si="11"/>
        <v>4973.4644079554992</v>
      </c>
      <c r="P153" s="30">
        <f t="shared" si="14"/>
        <v>2318.7373922593933</v>
      </c>
      <c r="Q153" s="96">
        <f t="shared" si="15"/>
        <v>528626.66574696172</v>
      </c>
    </row>
    <row r="154" spans="11:17">
      <c r="K154" s="134">
        <v>149</v>
      </c>
      <c r="L154" s="30">
        <f t="shared" si="16"/>
        <v>528626.66574696172</v>
      </c>
      <c r="M154" s="30">
        <f t="shared" si="13"/>
        <v>2643.1333287348089</v>
      </c>
      <c r="N154" s="30">
        <f t="shared" si="12"/>
        <v>4973.4644079554992</v>
      </c>
      <c r="O154" s="30">
        <f t="shared" si="11"/>
        <v>4973.4644079554992</v>
      </c>
      <c r="P154" s="30">
        <f t="shared" si="14"/>
        <v>2330.3310792206903</v>
      </c>
      <c r="Q154" s="96">
        <f t="shared" si="15"/>
        <v>526296.33466774109</v>
      </c>
    </row>
    <row r="155" spans="11:17">
      <c r="K155" s="134">
        <v>150</v>
      </c>
      <c r="L155" s="30">
        <f t="shared" si="16"/>
        <v>526296.33466774109</v>
      </c>
      <c r="M155" s="30">
        <f t="shared" si="13"/>
        <v>2631.4816733387056</v>
      </c>
      <c r="N155" s="30">
        <f t="shared" si="12"/>
        <v>4973.4644079554992</v>
      </c>
      <c r="O155" s="30">
        <f t="shared" si="11"/>
        <v>4973.4644079554992</v>
      </c>
      <c r="P155" s="30">
        <f t="shared" si="14"/>
        <v>2341.9827346167936</v>
      </c>
      <c r="Q155" s="96">
        <f t="shared" si="15"/>
        <v>523954.3519331243</v>
      </c>
    </row>
    <row r="156" spans="11:17">
      <c r="K156" s="134">
        <v>151</v>
      </c>
      <c r="L156" s="30">
        <f t="shared" si="16"/>
        <v>523954.3519331243</v>
      </c>
      <c r="M156" s="30">
        <f t="shared" si="13"/>
        <v>2619.7717596656216</v>
      </c>
      <c r="N156" s="30">
        <f t="shared" si="12"/>
        <v>4973.4644079554992</v>
      </c>
      <c r="O156" s="30">
        <f t="shared" si="11"/>
        <v>4973.4644079554992</v>
      </c>
      <c r="P156" s="30">
        <f t="shared" si="14"/>
        <v>2353.6926482898775</v>
      </c>
      <c r="Q156" s="96">
        <f t="shared" si="15"/>
        <v>521600.6592848344</v>
      </c>
    </row>
    <row r="157" spans="11:17">
      <c r="K157" s="134">
        <v>152</v>
      </c>
      <c r="L157" s="30">
        <f t="shared" si="16"/>
        <v>521600.6592848344</v>
      </c>
      <c r="M157" s="30">
        <f t="shared" si="13"/>
        <v>2608.0032964241723</v>
      </c>
      <c r="N157" s="30">
        <f t="shared" si="12"/>
        <v>4973.4644079554992</v>
      </c>
      <c r="O157" s="30">
        <f t="shared" si="11"/>
        <v>4973.4644079554992</v>
      </c>
      <c r="P157" s="30">
        <f t="shared" si="14"/>
        <v>2365.4611115313269</v>
      </c>
      <c r="Q157" s="96">
        <f t="shared" si="15"/>
        <v>519235.1981733031</v>
      </c>
    </row>
    <row r="158" spans="11:17">
      <c r="K158" s="134">
        <v>153</v>
      </c>
      <c r="L158" s="30">
        <f t="shared" si="16"/>
        <v>519235.1981733031</v>
      </c>
      <c r="M158" s="30">
        <f t="shared" si="13"/>
        <v>2596.1759908665153</v>
      </c>
      <c r="N158" s="30">
        <f t="shared" si="12"/>
        <v>4973.4644079554992</v>
      </c>
      <c r="O158" s="30">
        <f t="shared" si="11"/>
        <v>4973.4644079554992</v>
      </c>
      <c r="P158" s="30">
        <f t="shared" si="14"/>
        <v>2377.2884170889838</v>
      </c>
      <c r="Q158" s="96">
        <f t="shared" si="15"/>
        <v>516857.90975621413</v>
      </c>
    </row>
    <row r="159" spans="11:17">
      <c r="K159" s="134">
        <v>154</v>
      </c>
      <c r="L159" s="30">
        <f t="shared" si="16"/>
        <v>516857.90975621413</v>
      </c>
      <c r="M159" s="30">
        <f t="shared" si="13"/>
        <v>2584.2895487810706</v>
      </c>
      <c r="N159" s="30">
        <f t="shared" si="12"/>
        <v>4973.4644079554992</v>
      </c>
      <c r="O159" s="30">
        <f t="shared" si="11"/>
        <v>4973.4644079554992</v>
      </c>
      <c r="P159" s="30">
        <f t="shared" si="14"/>
        <v>2389.1748591744285</v>
      </c>
      <c r="Q159" s="96">
        <f t="shared" si="15"/>
        <v>514468.73489703971</v>
      </c>
    </row>
    <row r="160" spans="11:17">
      <c r="K160" s="134">
        <v>155</v>
      </c>
      <c r="L160" s="30">
        <f t="shared" si="16"/>
        <v>514468.73489703971</v>
      </c>
      <c r="M160" s="30">
        <f t="shared" si="13"/>
        <v>2572.3436744851988</v>
      </c>
      <c r="N160" s="30">
        <f t="shared" si="12"/>
        <v>4973.4644079554992</v>
      </c>
      <c r="O160" s="30">
        <f t="shared" si="11"/>
        <v>4973.4644079554992</v>
      </c>
      <c r="P160" s="30">
        <f t="shared" si="14"/>
        <v>2401.1207334703004</v>
      </c>
      <c r="Q160" s="96">
        <f t="shared" si="15"/>
        <v>512067.61416356941</v>
      </c>
    </row>
    <row r="161" spans="11:17">
      <c r="K161" s="134">
        <v>156</v>
      </c>
      <c r="L161" s="30">
        <f t="shared" si="16"/>
        <v>512067.61416356941</v>
      </c>
      <c r="M161" s="30">
        <f t="shared" si="13"/>
        <v>2560.338070817847</v>
      </c>
      <c r="N161" s="30">
        <f t="shared" si="12"/>
        <v>4973.4644079554992</v>
      </c>
      <c r="O161" s="30">
        <f t="shared" si="11"/>
        <v>4973.4644079554992</v>
      </c>
      <c r="P161" s="30">
        <f t="shared" si="14"/>
        <v>2413.1263371376522</v>
      </c>
      <c r="Q161" s="96">
        <f t="shared" si="15"/>
        <v>509654.48782643175</v>
      </c>
    </row>
    <row r="162" spans="11:17">
      <c r="K162" s="134">
        <v>157</v>
      </c>
      <c r="L162" s="30">
        <f t="shared" si="16"/>
        <v>509654.48782643175</v>
      </c>
      <c r="M162" s="30">
        <f t="shared" si="13"/>
        <v>2548.272439132159</v>
      </c>
      <c r="N162" s="30">
        <f t="shared" si="12"/>
        <v>4973.4644079554992</v>
      </c>
      <c r="O162" s="30">
        <f t="shared" si="11"/>
        <v>4973.4644079554992</v>
      </c>
      <c r="P162" s="30">
        <f t="shared" si="14"/>
        <v>2425.1919688233402</v>
      </c>
      <c r="Q162" s="96">
        <f t="shared" si="15"/>
        <v>507229.29585760843</v>
      </c>
    </row>
    <row r="163" spans="11:17">
      <c r="K163" s="134">
        <v>158</v>
      </c>
      <c r="L163" s="30">
        <f t="shared" si="16"/>
        <v>507229.29585760843</v>
      </c>
      <c r="M163" s="30">
        <f t="shared" si="13"/>
        <v>2536.1464792880424</v>
      </c>
      <c r="N163" s="30">
        <f t="shared" si="12"/>
        <v>4973.4644079554992</v>
      </c>
      <c r="O163" s="30">
        <f t="shared" si="11"/>
        <v>4973.4644079554992</v>
      </c>
      <c r="P163" s="30">
        <f t="shared" si="14"/>
        <v>2437.3179286674567</v>
      </c>
      <c r="Q163" s="96">
        <f t="shared" si="15"/>
        <v>504791.97792894096</v>
      </c>
    </row>
    <row r="164" spans="11:17">
      <c r="K164" s="134">
        <v>159</v>
      </c>
      <c r="L164" s="30">
        <f t="shared" si="16"/>
        <v>504791.97792894096</v>
      </c>
      <c r="M164" s="30">
        <f t="shared" si="13"/>
        <v>2523.9598896447051</v>
      </c>
      <c r="N164" s="30">
        <f t="shared" si="12"/>
        <v>4973.4644079554992</v>
      </c>
      <c r="O164" s="30">
        <f t="shared" si="11"/>
        <v>4973.4644079554992</v>
      </c>
      <c r="P164" s="30">
        <f t="shared" si="14"/>
        <v>2449.5045183107941</v>
      </c>
      <c r="Q164" s="96">
        <f t="shared" si="15"/>
        <v>502342.47341063019</v>
      </c>
    </row>
    <row r="165" spans="11:17">
      <c r="K165" s="134">
        <v>160</v>
      </c>
      <c r="L165" s="30">
        <f t="shared" si="16"/>
        <v>502342.47341063019</v>
      </c>
      <c r="M165" s="30">
        <f t="shared" si="13"/>
        <v>2511.712367053151</v>
      </c>
      <c r="N165" s="30">
        <f t="shared" si="12"/>
        <v>4973.4644079554992</v>
      </c>
      <c r="O165" s="30">
        <f t="shared" si="11"/>
        <v>4973.4644079554992</v>
      </c>
      <c r="P165" s="30">
        <f t="shared" si="14"/>
        <v>2461.7520409023482</v>
      </c>
      <c r="Q165" s="96">
        <f t="shared" si="15"/>
        <v>499880.72136972786</v>
      </c>
    </row>
    <row r="166" spans="11:17">
      <c r="K166" s="134">
        <v>161</v>
      </c>
      <c r="L166" s="30">
        <f t="shared" si="16"/>
        <v>499880.72136972786</v>
      </c>
      <c r="M166" s="30">
        <f t="shared" si="13"/>
        <v>2499.4036068486394</v>
      </c>
      <c r="N166" s="30">
        <f t="shared" si="12"/>
        <v>4973.4644079554992</v>
      </c>
      <c r="O166" s="30">
        <f t="shared" si="11"/>
        <v>4973.4644079554992</v>
      </c>
      <c r="P166" s="30">
        <f t="shared" si="14"/>
        <v>2474.0608011068598</v>
      </c>
      <c r="Q166" s="96">
        <f t="shared" si="15"/>
        <v>497406.66056862101</v>
      </c>
    </row>
    <row r="167" spans="11:17">
      <c r="K167" s="134">
        <v>162</v>
      </c>
      <c r="L167" s="30">
        <f t="shared" si="16"/>
        <v>497406.66056862101</v>
      </c>
      <c r="M167" s="30">
        <f t="shared" si="13"/>
        <v>2487.033302843105</v>
      </c>
      <c r="N167" s="30">
        <f t="shared" si="12"/>
        <v>4973.4644079554992</v>
      </c>
      <c r="O167" s="30">
        <f t="shared" si="11"/>
        <v>4973.4644079554992</v>
      </c>
      <c r="P167" s="30">
        <f t="shared" si="14"/>
        <v>2486.4311051123941</v>
      </c>
      <c r="Q167" s="96">
        <f t="shared" si="15"/>
        <v>494920.22946350864</v>
      </c>
    </row>
    <row r="168" spans="11:17">
      <c r="K168" s="134">
        <v>163</v>
      </c>
      <c r="L168" s="30">
        <f t="shared" si="16"/>
        <v>494920.22946350864</v>
      </c>
      <c r="M168" s="30">
        <f t="shared" si="13"/>
        <v>2474.6011473175431</v>
      </c>
      <c r="N168" s="30">
        <f t="shared" si="12"/>
        <v>4973.4644079554992</v>
      </c>
      <c r="O168" s="30">
        <f t="shared" si="11"/>
        <v>4973.4644079554992</v>
      </c>
      <c r="P168" s="30">
        <f t="shared" si="14"/>
        <v>2498.863260637956</v>
      </c>
      <c r="Q168" s="96">
        <f t="shared" si="15"/>
        <v>492421.36620287067</v>
      </c>
    </row>
    <row r="169" spans="11:17">
      <c r="K169" s="134">
        <v>164</v>
      </c>
      <c r="L169" s="30">
        <f t="shared" si="16"/>
        <v>492421.36620287067</v>
      </c>
      <c r="M169" s="30">
        <f t="shared" si="13"/>
        <v>2462.1068310143532</v>
      </c>
      <c r="N169" s="30">
        <f t="shared" si="12"/>
        <v>4973.4644079554992</v>
      </c>
      <c r="O169" s="30">
        <f t="shared" si="11"/>
        <v>4973.4644079554992</v>
      </c>
      <c r="P169" s="30">
        <f t="shared" si="14"/>
        <v>2511.3575769411459</v>
      </c>
      <c r="Q169" s="96">
        <f t="shared" si="15"/>
        <v>489910.00862592953</v>
      </c>
    </row>
    <row r="170" spans="11:17">
      <c r="K170" s="134">
        <v>165</v>
      </c>
      <c r="L170" s="30">
        <f t="shared" si="16"/>
        <v>489910.00862592953</v>
      </c>
      <c r="M170" s="30">
        <f t="shared" si="13"/>
        <v>2449.5500431296477</v>
      </c>
      <c r="N170" s="30">
        <f t="shared" si="12"/>
        <v>4973.4644079554992</v>
      </c>
      <c r="O170" s="30">
        <f t="shared" si="11"/>
        <v>4973.4644079554992</v>
      </c>
      <c r="P170" s="30">
        <f t="shared" si="14"/>
        <v>2523.9143648258514</v>
      </c>
      <c r="Q170" s="96">
        <f t="shared" si="15"/>
        <v>487386.09426110366</v>
      </c>
    </row>
    <row r="171" spans="11:17">
      <c r="K171" s="134">
        <v>166</v>
      </c>
      <c r="L171" s="30">
        <f t="shared" si="16"/>
        <v>487386.09426110366</v>
      </c>
      <c r="M171" s="30">
        <f t="shared" si="13"/>
        <v>2436.9304713055185</v>
      </c>
      <c r="N171" s="30">
        <f t="shared" si="12"/>
        <v>4973.4644079554992</v>
      </c>
      <c r="O171" s="30">
        <f t="shared" si="11"/>
        <v>4973.4644079554992</v>
      </c>
      <c r="P171" s="30">
        <f t="shared" si="14"/>
        <v>2536.5339366499807</v>
      </c>
      <c r="Q171" s="96">
        <f t="shared" si="15"/>
        <v>484849.56032445369</v>
      </c>
    </row>
    <row r="172" spans="11:17">
      <c r="K172" s="134">
        <v>167</v>
      </c>
      <c r="L172" s="30">
        <f t="shared" si="16"/>
        <v>484849.56032445369</v>
      </c>
      <c r="M172" s="30">
        <f t="shared" si="13"/>
        <v>2424.2478016222685</v>
      </c>
      <c r="N172" s="30">
        <f t="shared" si="12"/>
        <v>4973.4644079554992</v>
      </c>
      <c r="O172" s="30">
        <f t="shared" si="11"/>
        <v>4973.4644079554992</v>
      </c>
      <c r="P172" s="30">
        <f t="shared" si="14"/>
        <v>2549.2166063332306</v>
      </c>
      <c r="Q172" s="96">
        <f t="shared" si="15"/>
        <v>482300.34371812048</v>
      </c>
    </row>
    <row r="173" spans="11:17">
      <c r="K173" s="134">
        <v>168</v>
      </c>
      <c r="L173" s="30">
        <f t="shared" si="16"/>
        <v>482300.34371812048</v>
      </c>
      <c r="M173" s="30">
        <f t="shared" si="13"/>
        <v>2411.5017185906026</v>
      </c>
      <c r="N173" s="30">
        <f t="shared" si="12"/>
        <v>4973.4644079554992</v>
      </c>
      <c r="O173" s="30">
        <f t="shared" si="11"/>
        <v>4973.4644079554992</v>
      </c>
      <c r="P173" s="30">
        <f t="shared" si="14"/>
        <v>2561.9626893648965</v>
      </c>
      <c r="Q173" s="96">
        <f t="shared" si="15"/>
        <v>479738.38102875557</v>
      </c>
    </row>
    <row r="174" spans="11:17">
      <c r="K174" s="134">
        <v>169</v>
      </c>
      <c r="L174" s="30">
        <f t="shared" si="16"/>
        <v>479738.38102875557</v>
      </c>
      <c r="M174" s="30">
        <f t="shared" si="13"/>
        <v>2398.6919051437781</v>
      </c>
      <c r="N174" s="30">
        <f t="shared" si="12"/>
        <v>4973.4644079554992</v>
      </c>
      <c r="O174" s="30">
        <f t="shared" si="11"/>
        <v>4973.4644079554992</v>
      </c>
      <c r="P174" s="30">
        <f t="shared" si="14"/>
        <v>2574.7725028117211</v>
      </c>
      <c r="Q174" s="96">
        <f t="shared" si="15"/>
        <v>477163.60852594383</v>
      </c>
    </row>
    <row r="175" spans="11:17">
      <c r="K175" s="134">
        <v>170</v>
      </c>
      <c r="L175" s="30">
        <f t="shared" si="16"/>
        <v>477163.60852594383</v>
      </c>
      <c r="M175" s="30">
        <f t="shared" si="13"/>
        <v>2385.818042629719</v>
      </c>
      <c r="N175" s="30">
        <f t="shared" si="12"/>
        <v>4973.4644079554992</v>
      </c>
      <c r="O175" s="30">
        <f t="shared" si="11"/>
        <v>4973.4644079554992</v>
      </c>
      <c r="P175" s="30">
        <f t="shared" si="14"/>
        <v>2587.6463653257802</v>
      </c>
      <c r="Q175" s="96">
        <f t="shared" si="15"/>
        <v>474575.96216061804</v>
      </c>
    </row>
    <row r="176" spans="11:17">
      <c r="K176" s="134">
        <v>171</v>
      </c>
      <c r="L176" s="30">
        <f t="shared" si="16"/>
        <v>474575.96216061804</v>
      </c>
      <c r="M176" s="30">
        <f t="shared" si="13"/>
        <v>2372.8798108030901</v>
      </c>
      <c r="N176" s="30">
        <f t="shared" si="12"/>
        <v>4973.4644079554992</v>
      </c>
      <c r="O176" s="30">
        <f t="shared" si="11"/>
        <v>4973.4644079554992</v>
      </c>
      <c r="P176" s="30">
        <f t="shared" si="14"/>
        <v>2600.5845971524091</v>
      </c>
      <c r="Q176" s="96">
        <f t="shared" si="15"/>
        <v>471975.37756346562</v>
      </c>
    </row>
    <row r="177" spans="11:17">
      <c r="K177" s="134">
        <v>172</v>
      </c>
      <c r="L177" s="30">
        <f t="shared" si="16"/>
        <v>471975.37756346562</v>
      </c>
      <c r="M177" s="30">
        <f t="shared" si="13"/>
        <v>2359.8768878173282</v>
      </c>
      <c r="N177" s="30">
        <f t="shared" si="12"/>
        <v>4973.4644079554992</v>
      </c>
      <c r="O177" s="30">
        <f t="shared" si="11"/>
        <v>4973.4644079554992</v>
      </c>
      <c r="P177" s="30">
        <f t="shared" si="14"/>
        <v>2613.5875201381709</v>
      </c>
      <c r="Q177" s="96">
        <f t="shared" si="15"/>
        <v>469361.79004332743</v>
      </c>
    </row>
    <row r="178" spans="11:17">
      <c r="K178" s="134">
        <v>173</v>
      </c>
      <c r="L178" s="30">
        <f t="shared" si="16"/>
        <v>469361.79004332743</v>
      </c>
      <c r="M178" s="30">
        <f t="shared" si="13"/>
        <v>2346.8089502166372</v>
      </c>
      <c r="N178" s="30">
        <f t="shared" si="12"/>
        <v>4973.4644079554992</v>
      </c>
      <c r="O178" s="30">
        <f t="shared" si="11"/>
        <v>4973.4644079554992</v>
      </c>
      <c r="P178" s="30">
        <f t="shared" si="14"/>
        <v>2626.655457738862</v>
      </c>
      <c r="Q178" s="96">
        <f t="shared" si="15"/>
        <v>466735.13458558859</v>
      </c>
    </row>
    <row r="179" spans="11:17">
      <c r="K179" s="134">
        <v>174</v>
      </c>
      <c r="L179" s="30">
        <f t="shared" si="16"/>
        <v>466735.13458558859</v>
      </c>
      <c r="M179" s="30">
        <f t="shared" si="13"/>
        <v>2333.6756729279432</v>
      </c>
      <c r="N179" s="30">
        <f t="shared" si="12"/>
        <v>4973.4644079554992</v>
      </c>
      <c r="O179" s="30">
        <f t="shared" si="11"/>
        <v>4973.4644079554992</v>
      </c>
      <c r="P179" s="30">
        <f t="shared" si="14"/>
        <v>2639.788735027556</v>
      </c>
      <c r="Q179" s="96">
        <f t="shared" si="15"/>
        <v>464095.34585056105</v>
      </c>
    </row>
    <row r="180" spans="11:17">
      <c r="K180" s="134">
        <v>175</v>
      </c>
      <c r="L180" s="30">
        <f t="shared" si="16"/>
        <v>464095.34585056105</v>
      </c>
      <c r="M180" s="30">
        <f t="shared" si="13"/>
        <v>2320.4767292528054</v>
      </c>
      <c r="N180" s="30">
        <f t="shared" si="12"/>
        <v>4973.4644079554992</v>
      </c>
      <c r="O180" s="30">
        <f t="shared" si="11"/>
        <v>4973.4644079554992</v>
      </c>
      <c r="P180" s="30">
        <f t="shared" si="14"/>
        <v>2652.9876787026938</v>
      </c>
      <c r="Q180" s="96">
        <f t="shared" si="15"/>
        <v>461442.35817185836</v>
      </c>
    </row>
    <row r="181" spans="11:17">
      <c r="K181" s="134">
        <v>176</v>
      </c>
      <c r="L181" s="30">
        <f t="shared" si="16"/>
        <v>461442.35817185836</v>
      </c>
      <c r="M181" s="30">
        <f t="shared" si="13"/>
        <v>2307.2117908592918</v>
      </c>
      <c r="N181" s="30">
        <f t="shared" si="12"/>
        <v>4973.4644079554992</v>
      </c>
      <c r="O181" s="30">
        <f t="shared" si="11"/>
        <v>4973.4644079554992</v>
      </c>
      <c r="P181" s="30">
        <f t="shared" si="14"/>
        <v>2666.2526170962074</v>
      </c>
      <c r="Q181" s="96">
        <f t="shared" si="15"/>
        <v>458776.10555476218</v>
      </c>
    </row>
    <row r="182" spans="11:17">
      <c r="K182" s="134">
        <v>177</v>
      </c>
      <c r="L182" s="30">
        <f t="shared" si="16"/>
        <v>458776.10555476218</v>
      </c>
      <c r="M182" s="30">
        <f t="shared" si="13"/>
        <v>2293.8805277738111</v>
      </c>
      <c r="N182" s="30">
        <f t="shared" si="12"/>
        <v>4973.4644079554992</v>
      </c>
      <c r="O182" s="30">
        <f t="shared" si="11"/>
        <v>4973.4644079554992</v>
      </c>
      <c r="P182" s="30">
        <f t="shared" si="14"/>
        <v>2679.5838801816881</v>
      </c>
      <c r="Q182" s="96">
        <f t="shared" si="15"/>
        <v>456096.52167458046</v>
      </c>
    </row>
    <row r="183" spans="11:17">
      <c r="K183" s="134">
        <v>178</v>
      </c>
      <c r="L183" s="30">
        <f t="shared" si="16"/>
        <v>456096.52167458046</v>
      </c>
      <c r="M183" s="30">
        <f t="shared" si="13"/>
        <v>2280.4826083729022</v>
      </c>
      <c r="N183" s="30">
        <f t="shared" si="12"/>
        <v>4973.4644079554992</v>
      </c>
      <c r="O183" s="30">
        <f t="shared" si="11"/>
        <v>4973.4644079554992</v>
      </c>
      <c r="P183" s="30">
        <f t="shared" si="14"/>
        <v>2692.981799582597</v>
      </c>
      <c r="Q183" s="96">
        <f t="shared" si="15"/>
        <v>453403.53987499786</v>
      </c>
    </row>
    <row r="184" spans="11:17">
      <c r="K184" s="134">
        <v>179</v>
      </c>
      <c r="L184" s="30">
        <f t="shared" si="16"/>
        <v>453403.53987499786</v>
      </c>
      <c r="M184" s="30">
        <f t="shared" si="13"/>
        <v>2267.0176993749892</v>
      </c>
      <c r="N184" s="30">
        <f t="shared" si="12"/>
        <v>4973.4644079554992</v>
      </c>
      <c r="O184" s="30">
        <f t="shared" si="11"/>
        <v>4973.4644079554992</v>
      </c>
      <c r="P184" s="30">
        <f t="shared" si="14"/>
        <v>2706.4467085805099</v>
      </c>
      <c r="Q184" s="96">
        <f t="shared" si="15"/>
        <v>450697.09316641733</v>
      </c>
    </row>
    <row r="185" spans="11:17">
      <c r="K185" s="134">
        <v>180</v>
      </c>
      <c r="L185" s="30">
        <f t="shared" si="16"/>
        <v>450697.09316641733</v>
      </c>
      <c r="M185" s="30">
        <f t="shared" si="13"/>
        <v>2253.4854658320869</v>
      </c>
      <c r="N185" s="30">
        <f t="shared" si="12"/>
        <v>4973.4644079554992</v>
      </c>
      <c r="O185" s="30">
        <f t="shared" si="11"/>
        <v>4973.4644079554992</v>
      </c>
      <c r="P185" s="30">
        <f t="shared" si="14"/>
        <v>2719.9789421234123</v>
      </c>
      <c r="Q185" s="96">
        <f t="shared" si="15"/>
        <v>447977.11422429391</v>
      </c>
    </row>
    <row r="186" spans="11:17">
      <c r="K186" s="134">
        <v>181</v>
      </c>
      <c r="L186" s="30">
        <f t="shared" si="16"/>
        <v>447977.11422429391</v>
      </c>
      <c r="M186" s="30">
        <f t="shared" si="13"/>
        <v>2239.8855711214696</v>
      </c>
      <c r="N186" s="30">
        <f t="shared" si="12"/>
        <v>4973.4644079554992</v>
      </c>
      <c r="O186" s="30">
        <f t="shared" si="11"/>
        <v>4973.4644079554992</v>
      </c>
      <c r="P186" s="30">
        <f t="shared" si="14"/>
        <v>2733.5788368340295</v>
      </c>
      <c r="Q186" s="96">
        <f t="shared" si="15"/>
        <v>445243.53538745985</v>
      </c>
    </row>
    <row r="187" spans="11:17">
      <c r="K187" s="134">
        <v>182</v>
      </c>
      <c r="L187" s="30">
        <f t="shared" si="16"/>
        <v>445243.53538745985</v>
      </c>
      <c r="M187" s="30">
        <f t="shared" si="13"/>
        <v>2226.2176769372995</v>
      </c>
      <c r="N187" s="30">
        <f t="shared" si="12"/>
        <v>4973.4644079554992</v>
      </c>
      <c r="O187" s="30">
        <f t="shared" si="11"/>
        <v>4973.4644079554992</v>
      </c>
      <c r="P187" s="30">
        <f t="shared" si="14"/>
        <v>2747.2467310181996</v>
      </c>
      <c r="Q187" s="96">
        <f t="shared" si="15"/>
        <v>442496.28865644167</v>
      </c>
    </row>
    <row r="188" spans="11:17">
      <c r="K188" s="134">
        <v>183</v>
      </c>
      <c r="L188" s="30">
        <f t="shared" si="16"/>
        <v>442496.28865644167</v>
      </c>
      <c r="M188" s="30">
        <f t="shared" si="13"/>
        <v>2212.4814432822086</v>
      </c>
      <c r="N188" s="30">
        <f t="shared" si="12"/>
        <v>4973.4644079554992</v>
      </c>
      <c r="O188" s="30">
        <f t="shared" si="11"/>
        <v>4973.4644079554992</v>
      </c>
      <c r="P188" s="30">
        <f t="shared" si="14"/>
        <v>2760.9829646732906</v>
      </c>
      <c r="Q188" s="96">
        <f t="shared" si="15"/>
        <v>439735.30569176836</v>
      </c>
    </row>
    <row r="189" spans="11:17">
      <c r="K189" s="134">
        <v>184</v>
      </c>
      <c r="L189" s="30">
        <f t="shared" si="16"/>
        <v>439735.30569176836</v>
      </c>
      <c r="M189" s="30">
        <f t="shared" si="13"/>
        <v>2198.6765284588419</v>
      </c>
      <c r="N189" s="30">
        <f t="shared" si="12"/>
        <v>4973.4644079554992</v>
      </c>
      <c r="O189" s="30">
        <f t="shared" si="11"/>
        <v>4973.4644079554992</v>
      </c>
      <c r="P189" s="30">
        <f t="shared" si="14"/>
        <v>2774.7878794966573</v>
      </c>
      <c r="Q189" s="96">
        <f t="shared" si="15"/>
        <v>436960.51781227172</v>
      </c>
    </row>
    <row r="190" spans="11:17">
      <c r="K190" s="134">
        <v>185</v>
      </c>
      <c r="L190" s="30">
        <f t="shared" si="16"/>
        <v>436960.51781227172</v>
      </c>
      <c r="M190" s="30">
        <f t="shared" si="13"/>
        <v>2184.8025890613585</v>
      </c>
      <c r="N190" s="30">
        <f t="shared" si="12"/>
        <v>4973.4644079554992</v>
      </c>
      <c r="O190" s="30">
        <f t="shared" si="11"/>
        <v>4973.4644079554992</v>
      </c>
      <c r="P190" s="30">
        <f t="shared" si="14"/>
        <v>2788.6618188941407</v>
      </c>
      <c r="Q190" s="96">
        <f t="shared" si="15"/>
        <v>434171.85599337757</v>
      </c>
    </row>
    <row r="191" spans="11:17">
      <c r="K191" s="134">
        <v>186</v>
      </c>
      <c r="L191" s="30">
        <f t="shared" si="16"/>
        <v>434171.85599337757</v>
      </c>
      <c r="M191" s="30">
        <f t="shared" si="13"/>
        <v>2170.8592799668877</v>
      </c>
      <c r="N191" s="30">
        <f t="shared" si="12"/>
        <v>4973.4644079554992</v>
      </c>
      <c r="O191" s="30">
        <f t="shared" si="11"/>
        <v>4973.4644079554992</v>
      </c>
      <c r="P191" s="30">
        <f t="shared" si="14"/>
        <v>2802.6051279886115</v>
      </c>
      <c r="Q191" s="96">
        <f t="shared" si="15"/>
        <v>431369.25086538895</v>
      </c>
    </row>
    <row r="192" spans="11:17">
      <c r="K192" s="134">
        <v>187</v>
      </c>
      <c r="L192" s="30">
        <f t="shared" si="16"/>
        <v>431369.25086538895</v>
      </c>
      <c r="M192" s="30">
        <f t="shared" si="13"/>
        <v>2156.8462543269447</v>
      </c>
      <c r="N192" s="30">
        <f t="shared" si="12"/>
        <v>4973.4644079554992</v>
      </c>
      <c r="O192" s="30">
        <f t="shared" si="11"/>
        <v>4973.4644079554992</v>
      </c>
      <c r="P192" s="30">
        <f t="shared" si="14"/>
        <v>2816.6181536285544</v>
      </c>
      <c r="Q192" s="96">
        <f t="shared" si="15"/>
        <v>428552.63271176041</v>
      </c>
    </row>
    <row r="193" spans="11:17">
      <c r="K193" s="134">
        <v>188</v>
      </c>
      <c r="L193" s="30">
        <f t="shared" si="16"/>
        <v>428552.63271176041</v>
      </c>
      <c r="M193" s="30">
        <f t="shared" si="13"/>
        <v>2142.7631635588023</v>
      </c>
      <c r="N193" s="30">
        <f t="shared" si="12"/>
        <v>4973.4644079554992</v>
      </c>
      <c r="O193" s="30">
        <f t="shared" si="11"/>
        <v>4973.4644079554992</v>
      </c>
      <c r="P193" s="30">
        <f t="shared" si="14"/>
        <v>2830.7012443966969</v>
      </c>
      <c r="Q193" s="96">
        <f t="shared" si="15"/>
        <v>425721.93146736373</v>
      </c>
    </row>
    <row r="194" spans="11:17">
      <c r="K194" s="134">
        <v>189</v>
      </c>
      <c r="L194" s="30">
        <f t="shared" si="16"/>
        <v>425721.93146736373</v>
      </c>
      <c r="M194" s="30">
        <f t="shared" si="13"/>
        <v>2128.6096573368186</v>
      </c>
      <c r="N194" s="30">
        <f t="shared" si="12"/>
        <v>4973.4644079554992</v>
      </c>
      <c r="O194" s="30">
        <f t="shared" ref="O194:O257" si="17">+N194</f>
        <v>4973.4644079554992</v>
      </c>
      <c r="P194" s="30">
        <f t="shared" si="14"/>
        <v>2844.8547506186806</v>
      </c>
      <c r="Q194" s="96">
        <f t="shared" si="15"/>
        <v>422877.07671674504</v>
      </c>
    </row>
    <row r="195" spans="11:17">
      <c r="K195" s="134">
        <v>190</v>
      </c>
      <c r="L195" s="30">
        <f t="shared" si="16"/>
        <v>422877.07671674504</v>
      </c>
      <c r="M195" s="30">
        <f t="shared" si="13"/>
        <v>2114.3853835837253</v>
      </c>
      <c r="N195" s="30">
        <f t="shared" ref="N195:N258" si="18">+D$23</f>
        <v>4973.4644079554992</v>
      </c>
      <c r="O195" s="30">
        <f t="shared" si="17"/>
        <v>4973.4644079554992</v>
      </c>
      <c r="P195" s="30">
        <f t="shared" si="14"/>
        <v>2859.0790243717738</v>
      </c>
      <c r="Q195" s="96">
        <f t="shared" si="15"/>
        <v>420017.99769237329</v>
      </c>
    </row>
    <row r="196" spans="11:17">
      <c r="K196" s="134">
        <v>191</v>
      </c>
      <c r="L196" s="30">
        <f t="shared" si="16"/>
        <v>420017.99769237329</v>
      </c>
      <c r="M196" s="30">
        <f t="shared" si="13"/>
        <v>2100.0899884618666</v>
      </c>
      <c r="N196" s="30">
        <f t="shared" si="18"/>
        <v>4973.4644079554992</v>
      </c>
      <c r="O196" s="30">
        <f t="shared" si="17"/>
        <v>4973.4644079554992</v>
      </c>
      <c r="P196" s="30">
        <f t="shared" si="14"/>
        <v>2873.3744194936326</v>
      </c>
      <c r="Q196" s="96">
        <f t="shared" si="15"/>
        <v>417144.62327287963</v>
      </c>
    </row>
    <row r="197" spans="11:17">
      <c r="K197" s="134">
        <v>192</v>
      </c>
      <c r="L197" s="30">
        <f t="shared" si="16"/>
        <v>417144.62327287963</v>
      </c>
      <c r="M197" s="30">
        <f t="shared" si="13"/>
        <v>2085.7231163643983</v>
      </c>
      <c r="N197" s="30">
        <f t="shared" si="18"/>
        <v>4973.4644079554992</v>
      </c>
      <c r="O197" s="30">
        <f t="shared" si="17"/>
        <v>4973.4644079554992</v>
      </c>
      <c r="P197" s="30">
        <f t="shared" si="14"/>
        <v>2887.7412915911009</v>
      </c>
      <c r="Q197" s="96">
        <f t="shared" si="15"/>
        <v>414256.88198128855</v>
      </c>
    </row>
    <row r="198" spans="11:17">
      <c r="K198" s="134">
        <v>193</v>
      </c>
      <c r="L198" s="30">
        <f t="shared" si="16"/>
        <v>414256.88198128855</v>
      </c>
      <c r="M198" s="30">
        <f t="shared" si="13"/>
        <v>2071.2844099064428</v>
      </c>
      <c r="N198" s="30">
        <f t="shared" si="18"/>
        <v>4973.4644079554992</v>
      </c>
      <c r="O198" s="30">
        <f t="shared" si="17"/>
        <v>4973.4644079554992</v>
      </c>
      <c r="P198" s="30">
        <f t="shared" si="14"/>
        <v>2902.1799980490564</v>
      </c>
      <c r="Q198" s="96">
        <f t="shared" si="15"/>
        <v>411354.7019832395</v>
      </c>
    </row>
    <row r="199" spans="11:17">
      <c r="K199" s="134">
        <v>194</v>
      </c>
      <c r="L199" s="30">
        <f t="shared" si="16"/>
        <v>411354.7019832395</v>
      </c>
      <c r="M199" s="30">
        <f t="shared" ref="M199:M262" si="19">+L199*C$17</f>
        <v>2056.7735099161973</v>
      </c>
      <c r="N199" s="30">
        <f t="shared" si="18"/>
        <v>4973.4644079554992</v>
      </c>
      <c r="O199" s="30">
        <f t="shared" si="17"/>
        <v>4973.4644079554992</v>
      </c>
      <c r="P199" s="30">
        <f t="shared" ref="P199:P262" si="20">+N199-M199</f>
        <v>2916.6908980393018</v>
      </c>
      <c r="Q199" s="96">
        <f t="shared" ref="Q199:Q262" si="21">+L199-P199</f>
        <v>408438.01108520018</v>
      </c>
    </row>
    <row r="200" spans="11:17">
      <c r="K200" s="134">
        <v>195</v>
      </c>
      <c r="L200" s="30">
        <f t="shared" ref="L200:L263" si="22">+Q199</f>
        <v>408438.01108520018</v>
      </c>
      <c r="M200" s="30">
        <f t="shared" si="19"/>
        <v>2042.190055426001</v>
      </c>
      <c r="N200" s="30">
        <f t="shared" si="18"/>
        <v>4973.4644079554992</v>
      </c>
      <c r="O200" s="30">
        <f t="shared" si="17"/>
        <v>4973.4644079554992</v>
      </c>
      <c r="P200" s="30">
        <f t="shared" si="20"/>
        <v>2931.2743525294982</v>
      </c>
      <c r="Q200" s="96">
        <f t="shared" si="21"/>
        <v>405506.73673267069</v>
      </c>
    </row>
    <row r="201" spans="11:17">
      <c r="K201" s="134">
        <v>196</v>
      </c>
      <c r="L201" s="30">
        <f t="shared" si="22"/>
        <v>405506.73673267069</v>
      </c>
      <c r="M201" s="30">
        <f t="shared" si="19"/>
        <v>2027.5336836633535</v>
      </c>
      <c r="N201" s="30">
        <f t="shared" si="18"/>
        <v>4973.4644079554992</v>
      </c>
      <c r="O201" s="30">
        <f t="shared" si="17"/>
        <v>4973.4644079554992</v>
      </c>
      <c r="P201" s="30">
        <f t="shared" si="20"/>
        <v>2945.9307242921459</v>
      </c>
      <c r="Q201" s="96">
        <f t="shared" si="21"/>
        <v>402560.80600837857</v>
      </c>
    </row>
    <row r="202" spans="11:17">
      <c r="K202" s="134">
        <v>197</v>
      </c>
      <c r="L202" s="30">
        <f t="shared" si="22"/>
        <v>402560.80600837857</v>
      </c>
      <c r="M202" s="30">
        <f t="shared" si="19"/>
        <v>2012.8040300418929</v>
      </c>
      <c r="N202" s="30">
        <f t="shared" si="18"/>
        <v>4973.4644079554992</v>
      </c>
      <c r="O202" s="30">
        <f t="shared" si="17"/>
        <v>4973.4644079554992</v>
      </c>
      <c r="P202" s="30">
        <f t="shared" si="20"/>
        <v>2960.6603779136062</v>
      </c>
      <c r="Q202" s="96">
        <f t="shared" si="21"/>
        <v>399600.14563046495</v>
      </c>
    </row>
    <row r="203" spans="11:17">
      <c r="K203" s="134">
        <v>198</v>
      </c>
      <c r="L203" s="30">
        <f t="shared" si="22"/>
        <v>399600.14563046495</v>
      </c>
      <c r="M203" s="30">
        <f t="shared" si="19"/>
        <v>1998.0007281523249</v>
      </c>
      <c r="N203" s="30">
        <f t="shared" si="18"/>
        <v>4973.4644079554992</v>
      </c>
      <c r="O203" s="30">
        <f t="shared" si="17"/>
        <v>4973.4644079554992</v>
      </c>
      <c r="P203" s="30">
        <f t="shared" si="20"/>
        <v>2975.4636798031743</v>
      </c>
      <c r="Q203" s="96">
        <f t="shared" si="21"/>
        <v>396624.68195066176</v>
      </c>
    </row>
    <row r="204" spans="11:17">
      <c r="K204" s="134">
        <v>199</v>
      </c>
      <c r="L204" s="30">
        <f t="shared" si="22"/>
        <v>396624.68195066176</v>
      </c>
      <c r="M204" s="30">
        <f t="shared" si="19"/>
        <v>1983.1234097533088</v>
      </c>
      <c r="N204" s="30">
        <f t="shared" si="18"/>
        <v>4973.4644079554992</v>
      </c>
      <c r="O204" s="30">
        <f t="shared" si="17"/>
        <v>4973.4644079554992</v>
      </c>
      <c r="P204" s="30">
        <f t="shared" si="20"/>
        <v>2990.3409982021903</v>
      </c>
      <c r="Q204" s="96">
        <f t="shared" si="21"/>
        <v>393634.34095245955</v>
      </c>
    </row>
    <row r="205" spans="11:17">
      <c r="K205" s="134">
        <v>200</v>
      </c>
      <c r="L205" s="30">
        <f t="shared" si="22"/>
        <v>393634.34095245955</v>
      </c>
      <c r="M205" s="30">
        <f t="shared" si="19"/>
        <v>1968.1717047622978</v>
      </c>
      <c r="N205" s="30">
        <f t="shared" si="18"/>
        <v>4973.4644079554992</v>
      </c>
      <c r="O205" s="30">
        <f t="shared" si="17"/>
        <v>4973.4644079554992</v>
      </c>
      <c r="P205" s="30">
        <f t="shared" si="20"/>
        <v>3005.2927031932013</v>
      </c>
      <c r="Q205" s="96">
        <f t="shared" si="21"/>
        <v>390629.04824926634</v>
      </c>
    </row>
    <row r="206" spans="11:17">
      <c r="K206" s="134">
        <v>201</v>
      </c>
      <c r="L206" s="30">
        <f t="shared" si="22"/>
        <v>390629.04824926634</v>
      </c>
      <c r="M206" s="30">
        <f t="shared" si="19"/>
        <v>1953.1452412463318</v>
      </c>
      <c r="N206" s="30">
        <f t="shared" si="18"/>
        <v>4973.4644079554992</v>
      </c>
      <c r="O206" s="30">
        <f t="shared" si="17"/>
        <v>4973.4644079554992</v>
      </c>
      <c r="P206" s="30">
        <f t="shared" si="20"/>
        <v>3020.3191667091673</v>
      </c>
      <c r="Q206" s="96">
        <f t="shared" si="21"/>
        <v>387608.7290825572</v>
      </c>
    </row>
    <row r="207" spans="11:17">
      <c r="K207" s="134">
        <v>202</v>
      </c>
      <c r="L207" s="30">
        <f t="shared" si="22"/>
        <v>387608.7290825572</v>
      </c>
      <c r="M207" s="30">
        <f t="shared" si="19"/>
        <v>1938.043645412786</v>
      </c>
      <c r="N207" s="30">
        <f t="shared" si="18"/>
        <v>4973.4644079554992</v>
      </c>
      <c r="O207" s="30">
        <f t="shared" si="17"/>
        <v>4973.4644079554992</v>
      </c>
      <c r="P207" s="30">
        <f t="shared" si="20"/>
        <v>3035.4207625427134</v>
      </c>
      <c r="Q207" s="96">
        <f t="shared" si="21"/>
        <v>384573.3083200145</v>
      </c>
    </row>
    <row r="208" spans="11:17">
      <c r="K208" s="134">
        <v>203</v>
      </c>
      <c r="L208" s="30">
        <f t="shared" si="22"/>
        <v>384573.3083200145</v>
      </c>
      <c r="M208" s="30">
        <f t="shared" si="19"/>
        <v>1922.8665416000727</v>
      </c>
      <c r="N208" s="30">
        <f t="shared" si="18"/>
        <v>4973.4644079554992</v>
      </c>
      <c r="O208" s="30">
        <f t="shared" si="17"/>
        <v>4973.4644079554992</v>
      </c>
      <c r="P208" s="30">
        <f t="shared" si="20"/>
        <v>3050.5978663554265</v>
      </c>
      <c r="Q208" s="96">
        <f t="shared" si="21"/>
        <v>381522.71045365906</v>
      </c>
    </row>
    <row r="209" spans="11:17">
      <c r="K209" s="134">
        <v>204</v>
      </c>
      <c r="L209" s="30">
        <f t="shared" si="22"/>
        <v>381522.71045365906</v>
      </c>
      <c r="M209" s="30">
        <f t="shared" si="19"/>
        <v>1907.6135522682953</v>
      </c>
      <c r="N209" s="30">
        <f t="shared" si="18"/>
        <v>4973.4644079554992</v>
      </c>
      <c r="O209" s="30">
        <f t="shared" si="17"/>
        <v>4973.4644079554992</v>
      </c>
      <c r="P209" s="30">
        <f t="shared" si="20"/>
        <v>3065.8508556872039</v>
      </c>
      <c r="Q209" s="96">
        <f t="shared" si="21"/>
        <v>378456.85959797184</v>
      </c>
    </row>
    <row r="210" spans="11:17">
      <c r="K210" s="134">
        <v>205</v>
      </c>
      <c r="L210" s="30">
        <f t="shared" si="22"/>
        <v>378456.85959797184</v>
      </c>
      <c r="M210" s="30">
        <f t="shared" si="19"/>
        <v>1892.2842979898592</v>
      </c>
      <c r="N210" s="30">
        <f t="shared" si="18"/>
        <v>4973.4644079554992</v>
      </c>
      <c r="O210" s="30">
        <f t="shared" si="17"/>
        <v>4973.4644079554992</v>
      </c>
      <c r="P210" s="30">
        <f t="shared" si="20"/>
        <v>3081.18010996564</v>
      </c>
      <c r="Q210" s="96">
        <f t="shared" si="21"/>
        <v>375375.67948800622</v>
      </c>
    </row>
    <row r="211" spans="11:17">
      <c r="K211" s="134">
        <v>206</v>
      </c>
      <c r="L211" s="30">
        <f t="shared" si="22"/>
        <v>375375.67948800622</v>
      </c>
      <c r="M211" s="30">
        <f t="shared" si="19"/>
        <v>1876.8783974400312</v>
      </c>
      <c r="N211" s="30">
        <f t="shared" si="18"/>
        <v>4973.4644079554992</v>
      </c>
      <c r="O211" s="30">
        <f t="shared" si="17"/>
        <v>4973.4644079554992</v>
      </c>
      <c r="P211" s="30">
        <f t="shared" si="20"/>
        <v>3096.5860105154679</v>
      </c>
      <c r="Q211" s="96">
        <f t="shared" si="21"/>
        <v>372279.09347749077</v>
      </c>
    </row>
    <row r="212" spans="11:17">
      <c r="K212" s="134">
        <v>207</v>
      </c>
      <c r="L212" s="30">
        <f t="shared" si="22"/>
        <v>372279.09347749077</v>
      </c>
      <c r="M212" s="30">
        <f t="shared" si="19"/>
        <v>1861.3954673874539</v>
      </c>
      <c r="N212" s="30">
        <f t="shared" si="18"/>
        <v>4973.4644079554992</v>
      </c>
      <c r="O212" s="30">
        <f t="shared" si="17"/>
        <v>4973.4644079554992</v>
      </c>
      <c r="P212" s="30">
        <f t="shared" si="20"/>
        <v>3112.068940568045</v>
      </c>
      <c r="Q212" s="96">
        <f t="shared" si="21"/>
        <v>369167.02453692275</v>
      </c>
    </row>
    <row r="213" spans="11:17">
      <c r="K213" s="134">
        <v>208</v>
      </c>
      <c r="L213" s="30">
        <f t="shared" si="22"/>
        <v>369167.02453692275</v>
      </c>
      <c r="M213" s="30">
        <f t="shared" si="19"/>
        <v>1845.8351226846137</v>
      </c>
      <c r="N213" s="30">
        <f t="shared" si="18"/>
        <v>4973.4644079554992</v>
      </c>
      <c r="O213" s="30">
        <f t="shared" si="17"/>
        <v>4973.4644079554992</v>
      </c>
      <c r="P213" s="30">
        <f t="shared" si="20"/>
        <v>3127.6292852708857</v>
      </c>
      <c r="Q213" s="96">
        <f t="shared" si="21"/>
        <v>366039.39525165188</v>
      </c>
    </row>
    <row r="214" spans="11:17">
      <c r="K214" s="134">
        <v>209</v>
      </c>
      <c r="L214" s="30">
        <f t="shared" si="22"/>
        <v>366039.39525165188</v>
      </c>
      <c r="M214" s="30">
        <f t="shared" si="19"/>
        <v>1830.1969762582594</v>
      </c>
      <c r="N214" s="30">
        <f t="shared" si="18"/>
        <v>4973.4644079554992</v>
      </c>
      <c r="O214" s="30">
        <f t="shared" si="17"/>
        <v>4973.4644079554992</v>
      </c>
      <c r="P214" s="30">
        <f t="shared" si="20"/>
        <v>3143.2674316972398</v>
      </c>
      <c r="Q214" s="96">
        <f t="shared" si="21"/>
        <v>362896.12781995465</v>
      </c>
    </row>
    <row r="215" spans="11:17">
      <c r="K215" s="134">
        <v>210</v>
      </c>
      <c r="L215" s="30">
        <f t="shared" si="22"/>
        <v>362896.12781995465</v>
      </c>
      <c r="M215" s="30">
        <f t="shared" si="19"/>
        <v>1814.4806390997733</v>
      </c>
      <c r="N215" s="30">
        <f t="shared" si="18"/>
        <v>4973.4644079554992</v>
      </c>
      <c r="O215" s="30">
        <f t="shared" si="17"/>
        <v>4973.4644079554992</v>
      </c>
      <c r="P215" s="30">
        <f t="shared" si="20"/>
        <v>3158.9837688557259</v>
      </c>
      <c r="Q215" s="96">
        <f t="shared" si="21"/>
        <v>359737.14405109891</v>
      </c>
    </row>
    <row r="216" spans="11:17">
      <c r="K216" s="134">
        <v>211</v>
      </c>
      <c r="L216" s="30">
        <f t="shared" si="22"/>
        <v>359737.14405109891</v>
      </c>
      <c r="M216" s="30">
        <f t="shared" si="19"/>
        <v>1798.6857202554945</v>
      </c>
      <c r="N216" s="30">
        <f t="shared" si="18"/>
        <v>4973.4644079554992</v>
      </c>
      <c r="O216" s="30">
        <f t="shared" si="17"/>
        <v>4973.4644079554992</v>
      </c>
      <c r="P216" s="30">
        <f t="shared" si="20"/>
        <v>3174.7786877000044</v>
      </c>
      <c r="Q216" s="96">
        <f t="shared" si="21"/>
        <v>356562.36536339892</v>
      </c>
    </row>
    <row r="217" spans="11:17">
      <c r="K217" s="134">
        <v>212</v>
      </c>
      <c r="L217" s="30">
        <f t="shared" si="22"/>
        <v>356562.36536339892</v>
      </c>
      <c r="M217" s="30">
        <f t="shared" si="19"/>
        <v>1782.8118268169947</v>
      </c>
      <c r="N217" s="30">
        <f t="shared" si="18"/>
        <v>4973.4644079554992</v>
      </c>
      <c r="O217" s="30">
        <f t="shared" si="17"/>
        <v>4973.4644079554992</v>
      </c>
      <c r="P217" s="30">
        <f t="shared" si="20"/>
        <v>3190.6525811385045</v>
      </c>
      <c r="Q217" s="96">
        <f t="shared" si="21"/>
        <v>353371.71278226044</v>
      </c>
    </row>
    <row r="218" spans="11:17">
      <c r="K218" s="134">
        <v>213</v>
      </c>
      <c r="L218" s="30">
        <f t="shared" si="22"/>
        <v>353371.71278226044</v>
      </c>
      <c r="M218" s="30">
        <f t="shared" si="19"/>
        <v>1766.8585639113023</v>
      </c>
      <c r="N218" s="30">
        <f t="shared" si="18"/>
        <v>4973.4644079554992</v>
      </c>
      <c r="O218" s="30">
        <f t="shared" si="17"/>
        <v>4973.4644079554992</v>
      </c>
      <c r="P218" s="30">
        <f t="shared" si="20"/>
        <v>3206.6058440441966</v>
      </c>
      <c r="Q218" s="96">
        <f t="shared" si="21"/>
        <v>350165.10693821625</v>
      </c>
    </row>
    <row r="219" spans="11:17">
      <c r="K219" s="134">
        <v>214</v>
      </c>
      <c r="L219" s="30">
        <f t="shared" si="22"/>
        <v>350165.10693821625</v>
      </c>
      <c r="M219" s="30">
        <f t="shared" si="19"/>
        <v>1750.8255346910812</v>
      </c>
      <c r="N219" s="30">
        <f t="shared" si="18"/>
        <v>4973.4644079554992</v>
      </c>
      <c r="O219" s="30">
        <f t="shared" si="17"/>
        <v>4973.4644079554992</v>
      </c>
      <c r="P219" s="30">
        <f t="shared" si="20"/>
        <v>3222.6388732644182</v>
      </c>
      <c r="Q219" s="96">
        <f t="shared" si="21"/>
        <v>346942.46806495183</v>
      </c>
    </row>
    <row r="220" spans="11:17">
      <c r="K220" s="134">
        <v>215</v>
      </c>
      <c r="L220" s="30">
        <f t="shared" si="22"/>
        <v>346942.46806495183</v>
      </c>
      <c r="M220" s="30">
        <f t="shared" si="19"/>
        <v>1734.7123403247592</v>
      </c>
      <c r="N220" s="30">
        <f t="shared" si="18"/>
        <v>4973.4644079554992</v>
      </c>
      <c r="O220" s="30">
        <f t="shared" si="17"/>
        <v>4973.4644079554992</v>
      </c>
      <c r="P220" s="30">
        <f t="shared" si="20"/>
        <v>3238.7520676307399</v>
      </c>
      <c r="Q220" s="96">
        <f t="shared" si="21"/>
        <v>343703.71599732107</v>
      </c>
    </row>
    <row r="221" spans="11:17">
      <c r="K221" s="134">
        <v>216</v>
      </c>
      <c r="L221" s="30">
        <f t="shared" si="22"/>
        <v>343703.71599732107</v>
      </c>
      <c r="M221" s="30">
        <f t="shared" si="19"/>
        <v>1718.5185799866053</v>
      </c>
      <c r="N221" s="30">
        <f t="shared" si="18"/>
        <v>4973.4644079554992</v>
      </c>
      <c r="O221" s="30">
        <f t="shared" si="17"/>
        <v>4973.4644079554992</v>
      </c>
      <c r="P221" s="30">
        <f t="shared" si="20"/>
        <v>3254.9458279688938</v>
      </c>
      <c r="Q221" s="96">
        <f t="shared" si="21"/>
        <v>340448.77016935218</v>
      </c>
    </row>
    <row r="222" spans="11:17">
      <c r="K222" s="134">
        <v>217</v>
      </c>
      <c r="L222" s="30">
        <f t="shared" si="22"/>
        <v>340448.77016935218</v>
      </c>
      <c r="M222" s="30">
        <f t="shared" si="19"/>
        <v>1702.243850846761</v>
      </c>
      <c r="N222" s="30">
        <f t="shared" si="18"/>
        <v>4973.4644079554992</v>
      </c>
      <c r="O222" s="30">
        <f t="shared" si="17"/>
        <v>4973.4644079554992</v>
      </c>
      <c r="P222" s="30">
        <f t="shared" si="20"/>
        <v>3271.2205571087379</v>
      </c>
      <c r="Q222" s="96">
        <f t="shared" si="21"/>
        <v>337177.54961224343</v>
      </c>
    </row>
    <row r="223" spans="11:17">
      <c r="K223" s="134">
        <v>218</v>
      </c>
      <c r="L223" s="30">
        <f t="shared" si="22"/>
        <v>337177.54961224343</v>
      </c>
      <c r="M223" s="30">
        <f t="shared" si="19"/>
        <v>1685.8877480612173</v>
      </c>
      <c r="N223" s="30">
        <f t="shared" si="18"/>
        <v>4973.4644079554992</v>
      </c>
      <c r="O223" s="30">
        <f t="shared" si="17"/>
        <v>4973.4644079554992</v>
      </c>
      <c r="P223" s="30">
        <f t="shared" si="20"/>
        <v>3287.5766598942819</v>
      </c>
      <c r="Q223" s="96">
        <f t="shared" si="21"/>
        <v>333889.97295234917</v>
      </c>
    </row>
    <row r="224" spans="11:17">
      <c r="K224" s="134">
        <v>219</v>
      </c>
      <c r="L224" s="30">
        <f t="shared" si="22"/>
        <v>333889.97295234917</v>
      </c>
      <c r="M224" s="30">
        <f t="shared" si="19"/>
        <v>1669.4498647617459</v>
      </c>
      <c r="N224" s="30">
        <f t="shared" si="18"/>
        <v>4973.4644079554992</v>
      </c>
      <c r="O224" s="30">
        <f t="shared" si="17"/>
        <v>4973.4644079554992</v>
      </c>
      <c r="P224" s="30">
        <f t="shared" si="20"/>
        <v>3304.0145431937535</v>
      </c>
      <c r="Q224" s="96">
        <f t="shared" si="21"/>
        <v>330585.95840915543</v>
      </c>
    </row>
    <row r="225" spans="11:17">
      <c r="K225" s="134">
        <v>220</v>
      </c>
      <c r="L225" s="30">
        <f t="shared" si="22"/>
        <v>330585.95840915543</v>
      </c>
      <c r="M225" s="30">
        <f t="shared" si="19"/>
        <v>1652.9297920457773</v>
      </c>
      <c r="N225" s="30">
        <f t="shared" si="18"/>
        <v>4973.4644079554992</v>
      </c>
      <c r="O225" s="30">
        <f t="shared" si="17"/>
        <v>4973.4644079554992</v>
      </c>
      <c r="P225" s="30">
        <f t="shared" si="20"/>
        <v>3320.5346159097217</v>
      </c>
      <c r="Q225" s="96">
        <f t="shared" si="21"/>
        <v>327265.42379324569</v>
      </c>
    </row>
    <row r="226" spans="11:17">
      <c r="K226" s="134">
        <v>221</v>
      </c>
      <c r="L226" s="30">
        <f t="shared" si="22"/>
        <v>327265.42379324569</v>
      </c>
      <c r="M226" s="30">
        <f t="shared" si="19"/>
        <v>1636.3271189662285</v>
      </c>
      <c r="N226" s="30">
        <f t="shared" si="18"/>
        <v>4973.4644079554992</v>
      </c>
      <c r="O226" s="30">
        <f t="shared" si="17"/>
        <v>4973.4644079554992</v>
      </c>
      <c r="P226" s="30">
        <f t="shared" si="20"/>
        <v>3337.1372889892709</v>
      </c>
      <c r="Q226" s="96">
        <f t="shared" si="21"/>
        <v>323928.28650425642</v>
      </c>
    </row>
    <row r="227" spans="11:17">
      <c r="K227" s="134">
        <v>222</v>
      </c>
      <c r="L227" s="30">
        <f t="shared" si="22"/>
        <v>323928.28650425642</v>
      </c>
      <c r="M227" s="30">
        <f t="shared" si="19"/>
        <v>1619.6414325212822</v>
      </c>
      <c r="N227" s="30">
        <f t="shared" si="18"/>
        <v>4973.4644079554992</v>
      </c>
      <c r="O227" s="30">
        <f t="shared" si="17"/>
        <v>4973.4644079554992</v>
      </c>
      <c r="P227" s="30">
        <f t="shared" si="20"/>
        <v>3353.8229754342169</v>
      </c>
      <c r="Q227" s="96">
        <f t="shared" si="21"/>
        <v>320574.46352882223</v>
      </c>
    </row>
    <row r="228" spans="11:17">
      <c r="K228" s="134">
        <v>223</v>
      </c>
      <c r="L228" s="30">
        <f t="shared" si="22"/>
        <v>320574.46352882223</v>
      </c>
      <c r="M228" s="30">
        <f t="shared" si="19"/>
        <v>1602.8723176441113</v>
      </c>
      <c r="N228" s="30">
        <f t="shared" si="18"/>
        <v>4973.4644079554992</v>
      </c>
      <c r="O228" s="30">
        <f t="shared" si="17"/>
        <v>4973.4644079554992</v>
      </c>
      <c r="P228" s="30">
        <f t="shared" si="20"/>
        <v>3370.5920903113879</v>
      </c>
      <c r="Q228" s="96">
        <f t="shared" si="21"/>
        <v>317203.87143851083</v>
      </c>
    </row>
    <row r="229" spans="11:17">
      <c r="K229" s="134">
        <v>224</v>
      </c>
      <c r="L229" s="30">
        <f t="shared" si="22"/>
        <v>317203.87143851083</v>
      </c>
      <c r="M229" s="30">
        <f t="shared" si="19"/>
        <v>1586.0193571925543</v>
      </c>
      <c r="N229" s="30">
        <f t="shared" si="18"/>
        <v>4973.4644079554992</v>
      </c>
      <c r="O229" s="30">
        <f t="shared" si="17"/>
        <v>4973.4644079554992</v>
      </c>
      <c r="P229" s="30">
        <f t="shared" si="20"/>
        <v>3387.4450507629449</v>
      </c>
      <c r="Q229" s="96">
        <f t="shared" si="21"/>
        <v>313816.42638774787</v>
      </c>
    </row>
    <row r="230" spans="11:17">
      <c r="K230" s="134">
        <v>225</v>
      </c>
      <c r="L230" s="30">
        <f t="shared" si="22"/>
        <v>313816.42638774787</v>
      </c>
      <c r="M230" s="30">
        <f t="shared" si="19"/>
        <v>1569.0821319387394</v>
      </c>
      <c r="N230" s="30">
        <f t="shared" si="18"/>
        <v>4973.4644079554992</v>
      </c>
      <c r="O230" s="30">
        <f t="shared" si="17"/>
        <v>4973.4644079554992</v>
      </c>
      <c r="P230" s="30">
        <f t="shared" si="20"/>
        <v>3404.3822760167595</v>
      </c>
      <c r="Q230" s="96">
        <f t="shared" si="21"/>
        <v>310412.04411173111</v>
      </c>
    </row>
    <row r="231" spans="11:17">
      <c r="K231" s="134">
        <v>226</v>
      </c>
      <c r="L231" s="30">
        <f t="shared" si="22"/>
        <v>310412.04411173111</v>
      </c>
      <c r="M231" s="30">
        <f t="shared" si="19"/>
        <v>1552.0602205586556</v>
      </c>
      <c r="N231" s="30">
        <f t="shared" si="18"/>
        <v>4973.4644079554992</v>
      </c>
      <c r="O231" s="30">
        <f t="shared" si="17"/>
        <v>4973.4644079554992</v>
      </c>
      <c r="P231" s="30">
        <f t="shared" si="20"/>
        <v>3421.4041873968436</v>
      </c>
      <c r="Q231" s="96">
        <f t="shared" si="21"/>
        <v>306990.63992433425</v>
      </c>
    </row>
    <row r="232" spans="11:17">
      <c r="K232" s="134">
        <v>227</v>
      </c>
      <c r="L232" s="30">
        <f t="shared" si="22"/>
        <v>306990.63992433425</v>
      </c>
      <c r="M232" s="30">
        <f t="shared" si="19"/>
        <v>1534.9531996216713</v>
      </c>
      <c r="N232" s="30">
        <f t="shared" si="18"/>
        <v>4973.4644079554992</v>
      </c>
      <c r="O232" s="30">
        <f t="shared" si="17"/>
        <v>4973.4644079554992</v>
      </c>
      <c r="P232" s="30">
        <f t="shared" si="20"/>
        <v>3438.5112083338281</v>
      </c>
      <c r="Q232" s="96">
        <f t="shared" si="21"/>
        <v>303552.12871600041</v>
      </c>
    </row>
    <row r="233" spans="11:17">
      <c r="K233" s="134">
        <v>228</v>
      </c>
      <c r="L233" s="30">
        <f t="shared" si="22"/>
        <v>303552.12871600041</v>
      </c>
      <c r="M233" s="30">
        <f t="shared" si="19"/>
        <v>1517.7606435800021</v>
      </c>
      <c r="N233" s="30">
        <f t="shared" si="18"/>
        <v>4973.4644079554992</v>
      </c>
      <c r="O233" s="30">
        <f t="shared" si="17"/>
        <v>4973.4644079554992</v>
      </c>
      <c r="P233" s="30">
        <f t="shared" si="20"/>
        <v>3455.703764375497</v>
      </c>
      <c r="Q233" s="96">
        <f t="shared" si="21"/>
        <v>300096.42495162494</v>
      </c>
    </row>
    <row r="234" spans="11:17">
      <c r="K234" s="134">
        <v>229</v>
      </c>
      <c r="L234" s="30">
        <f t="shared" si="22"/>
        <v>300096.42495162494</v>
      </c>
      <c r="M234" s="30">
        <f t="shared" si="19"/>
        <v>1500.4821247581247</v>
      </c>
      <c r="N234" s="30">
        <f t="shared" si="18"/>
        <v>4973.4644079554992</v>
      </c>
      <c r="O234" s="30">
        <f t="shared" si="17"/>
        <v>4973.4644079554992</v>
      </c>
      <c r="P234" s="30">
        <f t="shared" si="20"/>
        <v>3472.9822831973743</v>
      </c>
      <c r="Q234" s="96">
        <f t="shared" si="21"/>
        <v>296623.44266842754</v>
      </c>
    </row>
    <row r="235" spans="11:17">
      <c r="K235" s="134">
        <v>230</v>
      </c>
      <c r="L235" s="30">
        <f t="shared" si="22"/>
        <v>296623.44266842754</v>
      </c>
      <c r="M235" s="30">
        <f t="shared" si="19"/>
        <v>1483.1172133421378</v>
      </c>
      <c r="N235" s="30">
        <f t="shared" si="18"/>
        <v>4973.4644079554992</v>
      </c>
      <c r="O235" s="30">
        <f t="shared" si="17"/>
        <v>4973.4644079554992</v>
      </c>
      <c r="P235" s="30">
        <f t="shared" si="20"/>
        <v>3490.3471946133614</v>
      </c>
      <c r="Q235" s="96">
        <f t="shared" si="21"/>
        <v>293133.09547381417</v>
      </c>
    </row>
    <row r="236" spans="11:17">
      <c r="K236" s="134">
        <v>231</v>
      </c>
      <c r="L236" s="30">
        <f t="shared" si="22"/>
        <v>293133.09547381417</v>
      </c>
      <c r="M236" s="30">
        <f t="shared" si="19"/>
        <v>1465.6654773690709</v>
      </c>
      <c r="N236" s="30">
        <f t="shared" si="18"/>
        <v>4973.4644079554992</v>
      </c>
      <c r="O236" s="30">
        <f t="shared" si="17"/>
        <v>4973.4644079554992</v>
      </c>
      <c r="P236" s="30">
        <f t="shared" si="20"/>
        <v>3507.7989305864285</v>
      </c>
      <c r="Q236" s="96">
        <f t="shared" si="21"/>
        <v>289625.29654322774</v>
      </c>
    </row>
    <row r="237" spans="11:17">
      <c r="K237" s="134">
        <v>232</v>
      </c>
      <c r="L237" s="30">
        <f t="shared" si="22"/>
        <v>289625.29654322774</v>
      </c>
      <c r="M237" s="30">
        <f t="shared" si="19"/>
        <v>1448.1264827161388</v>
      </c>
      <c r="N237" s="30">
        <f t="shared" si="18"/>
        <v>4973.4644079554992</v>
      </c>
      <c r="O237" s="30">
        <f t="shared" si="17"/>
        <v>4973.4644079554992</v>
      </c>
      <c r="P237" s="30">
        <f t="shared" si="20"/>
        <v>3525.3379252393606</v>
      </c>
      <c r="Q237" s="96">
        <f t="shared" si="21"/>
        <v>286099.95861798839</v>
      </c>
    </row>
    <row r="238" spans="11:17">
      <c r="K238" s="134">
        <v>233</v>
      </c>
      <c r="L238" s="30">
        <f t="shared" si="22"/>
        <v>286099.95861798839</v>
      </c>
      <c r="M238" s="30">
        <f t="shared" si="19"/>
        <v>1430.4997930899419</v>
      </c>
      <c r="N238" s="30">
        <f t="shared" si="18"/>
        <v>4973.4644079554992</v>
      </c>
      <c r="O238" s="30">
        <f t="shared" si="17"/>
        <v>4973.4644079554992</v>
      </c>
      <c r="P238" s="30">
        <f t="shared" si="20"/>
        <v>3542.9646148655575</v>
      </c>
      <c r="Q238" s="96">
        <f t="shared" si="21"/>
        <v>282556.99400312285</v>
      </c>
    </row>
    <row r="239" spans="11:17">
      <c r="K239" s="134">
        <v>234</v>
      </c>
      <c r="L239" s="30">
        <f t="shared" si="22"/>
        <v>282556.99400312285</v>
      </c>
      <c r="M239" s="30">
        <f t="shared" si="19"/>
        <v>1412.7849700156144</v>
      </c>
      <c r="N239" s="30">
        <f t="shared" si="18"/>
        <v>4973.4644079554992</v>
      </c>
      <c r="O239" s="30">
        <f t="shared" si="17"/>
        <v>4973.4644079554992</v>
      </c>
      <c r="P239" s="30">
        <f t="shared" si="20"/>
        <v>3560.6794379398848</v>
      </c>
      <c r="Q239" s="96">
        <f t="shared" si="21"/>
        <v>278996.31456518295</v>
      </c>
    </row>
    <row r="240" spans="11:17">
      <c r="K240" s="134">
        <v>235</v>
      </c>
      <c r="L240" s="30">
        <f t="shared" si="22"/>
        <v>278996.31456518295</v>
      </c>
      <c r="M240" s="30">
        <f t="shared" si="19"/>
        <v>1394.9815728259148</v>
      </c>
      <c r="N240" s="30">
        <f t="shared" si="18"/>
        <v>4973.4644079554992</v>
      </c>
      <c r="O240" s="30">
        <f t="shared" si="17"/>
        <v>4973.4644079554992</v>
      </c>
      <c r="P240" s="30">
        <f t="shared" si="20"/>
        <v>3578.4828351295846</v>
      </c>
      <c r="Q240" s="96">
        <f t="shared" si="21"/>
        <v>275417.83173005335</v>
      </c>
    </row>
    <row r="241" spans="11:17">
      <c r="K241" s="134">
        <v>236</v>
      </c>
      <c r="L241" s="30">
        <f t="shared" si="22"/>
        <v>275417.83173005335</v>
      </c>
      <c r="M241" s="30">
        <f t="shared" si="19"/>
        <v>1377.0891586502669</v>
      </c>
      <c r="N241" s="30">
        <f t="shared" si="18"/>
        <v>4973.4644079554992</v>
      </c>
      <c r="O241" s="30">
        <f t="shared" si="17"/>
        <v>4973.4644079554992</v>
      </c>
      <c r="P241" s="30">
        <f t="shared" si="20"/>
        <v>3596.3752493052325</v>
      </c>
      <c r="Q241" s="96">
        <f t="shared" si="21"/>
        <v>271821.45648074814</v>
      </c>
    </row>
    <row r="242" spans="11:17">
      <c r="K242" s="134">
        <v>237</v>
      </c>
      <c r="L242" s="30">
        <f t="shared" si="22"/>
        <v>271821.45648074814</v>
      </c>
      <c r="M242" s="30">
        <f t="shared" si="19"/>
        <v>1359.1072824037408</v>
      </c>
      <c r="N242" s="30">
        <f t="shared" si="18"/>
        <v>4973.4644079554992</v>
      </c>
      <c r="O242" s="30">
        <f t="shared" si="17"/>
        <v>4973.4644079554992</v>
      </c>
      <c r="P242" s="30">
        <f t="shared" si="20"/>
        <v>3614.3571255517581</v>
      </c>
      <c r="Q242" s="96">
        <f t="shared" si="21"/>
        <v>268207.09935519641</v>
      </c>
    </row>
    <row r="243" spans="11:17">
      <c r="K243" s="134">
        <v>238</v>
      </c>
      <c r="L243" s="30">
        <f t="shared" si="22"/>
        <v>268207.09935519641</v>
      </c>
      <c r="M243" s="30">
        <f t="shared" si="19"/>
        <v>1341.035496775982</v>
      </c>
      <c r="N243" s="30">
        <f t="shared" si="18"/>
        <v>4973.4644079554992</v>
      </c>
      <c r="O243" s="30">
        <f t="shared" si="17"/>
        <v>4973.4644079554992</v>
      </c>
      <c r="P243" s="30">
        <f t="shared" si="20"/>
        <v>3632.4289111795169</v>
      </c>
      <c r="Q243" s="96">
        <f t="shared" si="21"/>
        <v>264574.67044401687</v>
      </c>
    </row>
    <row r="244" spans="11:17">
      <c r="K244" s="134">
        <v>239</v>
      </c>
      <c r="L244" s="30">
        <f t="shared" si="22"/>
        <v>264574.67044401687</v>
      </c>
      <c r="M244" s="30">
        <f t="shared" si="19"/>
        <v>1322.8733522200844</v>
      </c>
      <c r="N244" s="30">
        <f t="shared" si="18"/>
        <v>4973.4644079554992</v>
      </c>
      <c r="O244" s="30">
        <f t="shared" si="17"/>
        <v>4973.4644079554992</v>
      </c>
      <c r="P244" s="30">
        <f t="shared" si="20"/>
        <v>3650.5910557354146</v>
      </c>
      <c r="Q244" s="96">
        <f t="shared" si="21"/>
        <v>260924.07938828145</v>
      </c>
    </row>
    <row r="245" spans="11:17">
      <c r="K245" s="134">
        <v>240</v>
      </c>
      <c r="L245" s="30">
        <f t="shared" si="22"/>
        <v>260924.07938828145</v>
      </c>
      <c r="M245" s="30">
        <f t="shared" si="19"/>
        <v>1304.6203969414073</v>
      </c>
      <c r="N245" s="30">
        <f t="shared" si="18"/>
        <v>4973.4644079554992</v>
      </c>
      <c r="O245" s="30">
        <f t="shared" si="17"/>
        <v>4973.4644079554992</v>
      </c>
      <c r="P245" s="30">
        <f t="shared" si="20"/>
        <v>3668.8440110140918</v>
      </c>
      <c r="Q245" s="96">
        <f t="shared" si="21"/>
        <v>257255.23537726735</v>
      </c>
    </row>
    <row r="246" spans="11:17">
      <c r="K246" s="134">
        <v>241</v>
      </c>
      <c r="L246" s="30">
        <f t="shared" si="22"/>
        <v>257255.23537726735</v>
      </c>
      <c r="M246" s="30">
        <f t="shared" si="19"/>
        <v>1286.2761768863368</v>
      </c>
      <c r="N246" s="30">
        <f t="shared" si="18"/>
        <v>4973.4644079554992</v>
      </c>
      <c r="O246" s="30">
        <f t="shared" si="17"/>
        <v>4973.4644079554992</v>
      </c>
      <c r="P246" s="30">
        <f t="shared" si="20"/>
        <v>3687.1882310691626</v>
      </c>
      <c r="Q246" s="96">
        <f t="shared" si="21"/>
        <v>253568.04714619819</v>
      </c>
    </row>
    <row r="247" spans="11:17">
      <c r="K247" s="134">
        <v>242</v>
      </c>
      <c r="L247" s="30">
        <f t="shared" si="22"/>
        <v>253568.04714619819</v>
      </c>
      <c r="M247" s="30">
        <f t="shared" si="19"/>
        <v>1267.840235730991</v>
      </c>
      <c r="N247" s="30">
        <f t="shared" si="18"/>
        <v>4973.4644079554992</v>
      </c>
      <c r="O247" s="30">
        <f t="shared" si="17"/>
        <v>4973.4644079554992</v>
      </c>
      <c r="P247" s="30">
        <f t="shared" si="20"/>
        <v>3705.6241722245081</v>
      </c>
      <c r="Q247" s="96">
        <f t="shared" si="21"/>
        <v>249862.42297397368</v>
      </c>
    </row>
    <row r="248" spans="11:17">
      <c r="K248" s="134">
        <v>243</v>
      </c>
      <c r="L248" s="30">
        <f t="shared" si="22"/>
        <v>249862.42297397368</v>
      </c>
      <c r="M248" s="30">
        <f t="shared" si="19"/>
        <v>1249.3121148698683</v>
      </c>
      <c r="N248" s="30">
        <f t="shared" si="18"/>
        <v>4973.4644079554992</v>
      </c>
      <c r="O248" s="30">
        <f t="shared" si="17"/>
        <v>4973.4644079554992</v>
      </c>
      <c r="P248" s="30">
        <f t="shared" si="20"/>
        <v>3724.1522930856308</v>
      </c>
      <c r="Q248" s="96">
        <f t="shared" si="21"/>
        <v>246138.27068088803</v>
      </c>
    </row>
    <row r="249" spans="11:17">
      <c r="K249" s="134">
        <v>244</v>
      </c>
      <c r="L249" s="30">
        <f t="shared" si="22"/>
        <v>246138.27068088803</v>
      </c>
      <c r="M249" s="30">
        <f t="shared" si="19"/>
        <v>1230.6913534044402</v>
      </c>
      <c r="N249" s="30">
        <f t="shared" si="18"/>
        <v>4973.4644079554992</v>
      </c>
      <c r="O249" s="30">
        <f t="shared" si="17"/>
        <v>4973.4644079554992</v>
      </c>
      <c r="P249" s="30">
        <f t="shared" si="20"/>
        <v>3742.773054551059</v>
      </c>
      <c r="Q249" s="96">
        <f t="shared" si="21"/>
        <v>242395.49762633696</v>
      </c>
    </row>
    <row r="250" spans="11:17">
      <c r="K250" s="134">
        <v>245</v>
      </c>
      <c r="L250" s="30">
        <f t="shared" si="22"/>
        <v>242395.49762633696</v>
      </c>
      <c r="M250" s="30">
        <f t="shared" si="19"/>
        <v>1211.9774881316848</v>
      </c>
      <c r="N250" s="30">
        <f t="shared" si="18"/>
        <v>4973.4644079554992</v>
      </c>
      <c r="O250" s="30">
        <f t="shared" si="17"/>
        <v>4973.4644079554992</v>
      </c>
      <c r="P250" s="30">
        <f t="shared" si="20"/>
        <v>3761.4869198238143</v>
      </c>
      <c r="Q250" s="96">
        <f t="shared" si="21"/>
        <v>238634.01070651316</v>
      </c>
    </row>
    <row r="251" spans="11:17">
      <c r="K251" s="134">
        <v>246</v>
      </c>
      <c r="L251" s="30">
        <f t="shared" si="22"/>
        <v>238634.01070651316</v>
      </c>
      <c r="M251" s="30">
        <f t="shared" si="19"/>
        <v>1193.1700535325658</v>
      </c>
      <c r="N251" s="30">
        <f t="shared" si="18"/>
        <v>4973.4644079554992</v>
      </c>
      <c r="O251" s="30">
        <f t="shared" si="17"/>
        <v>4973.4644079554992</v>
      </c>
      <c r="P251" s="30">
        <f t="shared" si="20"/>
        <v>3780.2943544229333</v>
      </c>
      <c r="Q251" s="96">
        <f t="shared" si="21"/>
        <v>234853.71635209024</v>
      </c>
    </row>
    <row r="252" spans="11:17">
      <c r="K252" s="134">
        <v>247</v>
      </c>
      <c r="L252" s="30">
        <f t="shared" si="22"/>
        <v>234853.71635209024</v>
      </c>
      <c r="M252" s="30">
        <f t="shared" si="19"/>
        <v>1174.2685817604513</v>
      </c>
      <c r="N252" s="30">
        <f t="shared" si="18"/>
        <v>4973.4644079554992</v>
      </c>
      <c r="O252" s="30">
        <f t="shared" si="17"/>
        <v>4973.4644079554992</v>
      </c>
      <c r="P252" s="30">
        <f t="shared" si="20"/>
        <v>3799.1958261950476</v>
      </c>
      <c r="Q252" s="96">
        <f t="shared" si="21"/>
        <v>231054.5205258952</v>
      </c>
    </row>
    <row r="253" spans="11:17">
      <c r="K253" s="134">
        <v>248</v>
      </c>
      <c r="L253" s="30">
        <f t="shared" si="22"/>
        <v>231054.5205258952</v>
      </c>
      <c r="M253" s="30">
        <f t="shared" si="19"/>
        <v>1155.2726026294761</v>
      </c>
      <c r="N253" s="30">
        <f t="shared" si="18"/>
        <v>4973.4644079554992</v>
      </c>
      <c r="O253" s="30">
        <f t="shared" si="17"/>
        <v>4973.4644079554992</v>
      </c>
      <c r="P253" s="30">
        <f t="shared" si="20"/>
        <v>3818.1918053260233</v>
      </c>
      <c r="Q253" s="96">
        <f t="shared" si="21"/>
        <v>227236.32872056917</v>
      </c>
    </row>
    <row r="254" spans="11:17">
      <c r="K254" s="134">
        <v>249</v>
      </c>
      <c r="L254" s="30">
        <f t="shared" si="22"/>
        <v>227236.32872056917</v>
      </c>
      <c r="M254" s="30">
        <f t="shared" si="19"/>
        <v>1136.181643602846</v>
      </c>
      <c r="N254" s="30">
        <f t="shared" si="18"/>
        <v>4973.4644079554992</v>
      </c>
      <c r="O254" s="30">
        <f t="shared" si="17"/>
        <v>4973.4644079554992</v>
      </c>
      <c r="P254" s="30">
        <f t="shared" si="20"/>
        <v>3837.2827643526534</v>
      </c>
      <c r="Q254" s="96">
        <f t="shared" si="21"/>
        <v>223399.04595621652</v>
      </c>
    </row>
    <row r="255" spans="11:17">
      <c r="K255" s="134">
        <v>250</v>
      </c>
      <c r="L255" s="30">
        <f t="shared" si="22"/>
        <v>223399.04595621652</v>
      </c>
      <c r="M255" s="30">
        <f t="shared" si="19"/>
        <v>1116.9952297810826</v>
      </c>
      <c r="N255" s="30">
        <f t="shared" si="18"/>
        <v>4973.4644079554992</v>
      </c>
      <c r="O255" s="30">
        <f t="shared" si="17"/>
        <v>4973.4644079554992</v>
      </c>
      <c r="P255" s="30">
        <f t="shared" si="20"/>
        <v>3856.4691781744168</v>
      </c>
      <c r="Q255" s="96">
        <f t="shared" si="21"/>
        <v>219542.5767780421</v>
      </c>
    </row>
    <row r="256" spans="11:17">
      <c r="K256" s="134">
        <v>251</v>
      </c>
      <c r="L256" s="30">
        <f t="shared" si="22"/>
        <v>219542.5767780421</v>
      </c>
      <c r="M256" s="30">
        <f t="shared" si="19"/>
        <v>1097.7128838902106</v>
      </c>
      <c r="N256" s="30">
        <f t="shared" si="18"/>
        <v>4973.4644079554992</v>
      </c>
      <c r="O256" s="30">
        <f t="shared" si="17"/>
        <v>4973.4644079554992</v>
      </c>
      <c r="P256" s="30">
        <f t="shared" si="20"/>
        <v>3875.7515240652883</v>
      </c>
      <c r="Q256" s="96">
        <f t="shared" si="21"/>
        <v>215666.8252539768</v>
      </c>
    </row>
    <row r="257" spans="11:17">
      <c r="K257" s="134">
        <v>252</v>
      </c>
      <c r="L257" s="30">
        <f t="shared" si="22"/>
        <v>215666.8252539768</v>
      </c>
      <c r="M257" s="30">
        <f t="shared" si="19"/>
        <v>1078.3341262698841</v>
      </c>
      <c r="N257" s="30">
        <f t="shared" si="18"/>
        <v>4973.4644079554992</v>
      </c>
      <c r="O257" s="30">
        <f t="shared" si="17"/>
        <v>4973.4644079554992</v>
      </c>
      <c r="P257" s="30">
        <f t="shared" si="20"/>
        <v>3895.130281685615</v>
      </c>
      <c r="Q257" s="96">
        <f t="shared" si="21"/>
        <v>211771.69497229118</v>
      </c>
    </row>
    <row r="258" spans="11:17">
      <c r="K258" s="134">
        <v>253</v>
      </c>
      <c r="L258" s="30">
        <f t="shared" si="22"/>
        <v>211771.69497229118</v>
      </c>
      <c r="M258" s="30">
        <f t="shared" si="19"/>
        <v>1058.858474861456</v>
      </c>
      <c r="N258" s="30">
        <f t="shared" si="18"/>
        <v>4973.4644079554992</v>
      </c>
      <c r="O258" s="30">
        <f t="shared" ref="O258:O305" si="23">+N258</f>
        <v>4973.4644079554992</v>
      </c>
      <c r="P258" s="30">
        <f t="shared" si="20"/>
        <v>3914.6059330940434</v>
      </c>
      <c r="Q258" s="96">
        <f t="shared" si="21"/>
        <v>207857.08903919713</v>
      </c>
    </row>
    <row r="259" spans="11:17">
      <c r="K259" s="134">
        <v>254</v>
      </c>
      <c r="L259" s="30">
        <f t="shared" si="22"/>
        <v>207857.08903919713</v>
      </c>
      <c r="M259" s="30">
        <f t="shared" si="19"/>
        <v>1039.2854451959856</v>
      </c>
      <c r="N259" s="30">
        <f t="shared" ref="N259:N305" si="24">+D$23</f>
        <v>4973.4644079554992</v>
      </c>
      <c r="O259" s="30">
        <f t="shared" si="23"/>
        <v>4973.4644079554992</v>
      </c>
      <c r="P259" s="30">
        <f t="shared" si="20"/>
        <v>3934.1789627595135</v>
      </c>
      <c r="Q259" s="96">
        <f t="shared" si="21"/>
        <v>203922.91007643763</v>
      </c>
    </row>
    <row r="260" spans="11:17">
      <c r="K260" s="134">
        <v>255</v>
      </c>
      <c r="L260" s="30">
        <f t="shared" si="22"/>
        <v>203922.91007643763</v>
      </c>
      <c r="M260" s="30">
        <f t="shared" si="19"/>
        <v>1019.6145503821882</v>
      </c>
      <c r="N260" s="30">
        <f t="shared" si="24"/>
        <v>4973.4644079554992</v>
      </c>
      <c r="O260" s="30">
        <f t="shared" si="23"/>
        <v>4973.4644079554992</v>
      </c>
      <c r="P260" s="30">
        <f t="shared" si="20"/>
        <v>3953.8498575733111</v>
      </c>
      <c r="Q260" s="96">
        <f t="shared" si="21"/>
        <v>199969.06021886432</v>
      </c>
    </row>
    <row r="261" spans="11:17">
      <c r="K261" s="134">
        <v>256</v>
      </c>
      <c r="L261" s="30">
        <f t="shared" si="22"/>
        <v>199969.06021886432</v>
      </c>
      <c r="M261" s="30">
        <f t="shared" si="19"/>
        <v>999.8453010943216</v>
      </c>
      <c r="N261" s="30">
        <f t="shared" si="24"/>
        <v>4973.4644079554992</v>
      </c>
      <c r="O261" s="30">
        <f t="shared" si="23"/>
        <v>4973.4644079554992</v>
      </c>
      <c r="P261" s="30">
        <f t="shared" si="20"/>
        <v>3973.6191068611774</v>
      </c>
      <c r="Q261" s="96">
        <f t="shared" si="21"/>
        <v>195995.44111200314</v>
      </c>
    </row>
    <row r="262" spans="11:17">
      <c r="K262" s="134">
        <v>257</v>
      </c>
      <c r="L262" s="30">
        <f t="shared" si="22"/>
        <v>195995.44111200314</v>
      </c>
      <c r="M262" s="30">
        <f t="shared" si="19"/>
        <v>979.9772055600157</v>
      </c>
      <c r="N262" s="30">
        <f t="shared" si="24"/>
        <v>4973.4644079554992</v>
      </c>
      <c r="O262" s="30">
        <f t="shared" si="23"/>
        <v>4973.4644079554992</v>
      </c>
      <c r="P262" s="30">
        <f t="shared" si="20"/>
        <v>3993.4872023954836</v>
      </c>
      <c r="Q262" s="96">
        <f t="shared" si="21"/>
        <v>192001.95390960766</v>
      </c>
    </row>
    <row r="263" spans="11:17">
      <c r="K263" s="134">
        <v>258</v>
      </c>
      <c r="L263" s="30">
        <f t="shared" si="22"/>
        <v>192001.95390960766</v>
      </c>
      <c r="M263" s="30">
        <f t="shared" ref="M263:M305" si="25">+L263*C$17</f>
        <v>960.00976954803832</v>
      </c>
      <c r="N263" s="30">
        <f t="shared" si="24"/>
        <v>4973.4644079554992</v>
      </c>
      <c r="O263" s="30">
        <f t="shared" si="23"/>
        <v>4973.4644079554992</v>
      </c>
      <c r="P263" s="30">
        <f t="shared" ref="P263:P305" si="26">+N263-M263</f>
        <v>4013.4546384074611</v>
      </c>
      <c r="Q263" s="96">
        <f t="shared" ref="Q263:Q305" si="27">+L263-P263</f>
        <v>187988.49927120021</v>
      </c>
    </row>
    <row r="264" spans="11:17">
      <c r="K264" s="134">
        <v>259</v>
      </c>
      <c r="L264" s="30">
        <f t="shared" ref="L264:L305" si="28">+Q263</f>
        <v>187988.49927120021</v>
      </c>
      <c r="M264" s="30">
        <f t="shared" si="25"/>
        <v>939.94249635600113</v>
      </c>
      <c r="N264" s="30">
        <f t="shared" si="24"/>
        <v>4973.4644079554992</v>
      </c>
      <c r="O264" s="30">
        <f t="shared" si="23"/>
        <v>4973.4644079554992</v>
      </c>
      <c r="P264" s="30">
        <f t="shared" si="26"/>
        <v>4033.5219115994978</v>
      </c>
      <c r="Q264" s="96">
        <f t="shared" si="27"/>
        <v>183954.97735960071</v>
      </c>
    </row>
    <row r="265" spans="11:17">
      <c r="K265" s="134">
        <v>260</v>
      </c>
      <c r="L265" s="30">
        <f t="shared" si="28"/>
        <v>183954.97735960071</v>
      </c>
      <c r="M265" s="30">
        <f t="shared" si="25"/>
        <v>919.77488679800354</v>
      </c>
      <c r="N265" s="30">
        <f t="shared" si="24"/>
        <v>4973.4644079554992</v>
      </c>
      <c r="O265" s="30">
        <f t="shared" si="23"/>
        <v>4973.4644079554992</v>
      </c>
      <c r="P265" s="30">
        <f t="shared" si="26"/>
        <v>4053.6895211574956</v>
      </c>
      <c r="Q265" s="96">
        <f t="shared" si="27"/>
        <v>179901.28783844321</v>
      </c>
    </row>
    <row r="266" spans="11:17">
      <c r="K266" s="134">
        <v>261</v>
      </c>
      <c r="L266" s="30">
        <f t="shared" si="28"/>
        <v>179901.28783844321</v>
      </c>
      <c r="M266" s="30">
        <f t="shared" si="25"/>
        <v>899.50643919221602</v>
      </c>
      <c r="N266" s="30">
        <f t="shared" si="24"/>
        <v>4973.4644079554992</v>
      </c>
      <c r="O266" s="30">
        <f t="shared" si="23"/>
        <v>4973.4644079554992</v>
      </c>
      <c r="P266" s="30">
        <f t="shared" si="26"/>
        <v>4073.9579687632831</v>
      </c>
      <c r="Q266" s="96">
        <f t="shared" si="27"/>
        <v>175827.32986967993</v>
      </c>
    </row>
    <row r="267" spans="11:17">
      <c r="K267" s="134">
        <v>262</v>
      </c>
      <c r="L267" s="30">
        <f t="shared" si="28"/>
        <v>175827.32986967993</v>
      </c>
      <c r="M267" s="30">
        <f t="shared" si="25"/>
        <v>879.13664934839971</v>
      </c>
      <c r="N267" s="30">
        <f t="shared" si="24"/>
        <v>4973.4644079554992</v>
      </c>
      <c r="O267" s="30">
        <f t="shared" si="23"/>
        <v>4973.4644079554992</v>
      </c>
      <c r="P267" s="30">
        <f t="shared" si="26"/>
        <v>4094.3277586070994</v>
      </c>
      <c r="Q267" s="96">
        <f t="shared" si="27"/>
        <v>171733.00211107283</v>
      </c>
    </row>
    <row r="268" spans="11:17">
      <c r="K268" s="134">
        <v>263</v>
      </c>
      <c r="L268" s="30">
        <f t="shared" si="28"/>
        <v>171733.00211107283</v>
      </c>
      <c r="M268" s="30">
        <f t="shared" si="25"/>
        <v>858.66501055536412</v>
      </c>
      <c r="N268" s="30">
        <f t="shared" si="24"/>
        <v>4973.4644079554992</v>
      </c>
      <c r="O268" s="30">
        <f t="shared" si="23"/>
        <v>4973.4644079554992</v>
      </c>
      <c r="P268" s="30">
        <f t="shared" si="26"/>
        <v>4114.7993974001347</v>
      </c>
      <c r="Q268" s="96">
        <f t="shared" si="27"/>
        <v>167618.20271367268</v>
      </c>
    </row>
    <row r="269" spans="11:17">
      <c r="K269" s="134">
        <v>264</v>
      </c>
      <c r="L269" s="30">
        <f t="shared" si="28"/>
        <v>167618.20271367268</v>
      </c>
      <c r="M269" s="30">
        <f t="shared" si="25"/>
        <v>838.09101356836345</v>
      </c>
      <c r="N269" s="30">
        <f t="shared" si="24"/>
        <v>4973.4644079554992</v>
      </c>
      <c r="O269" s="30">
        <f t="shared" si="23"/>
        <v>4973.4644079554992</v>
      </c>
      <c r="P269" s="30">
        <f t="shared" si="26"/>
        <v>4135.3733943871357</v>
      </c>
      <c r="Q269" s="96">
        <f t="shared" si="27"/>
        <v>163482.82931928555</v>
      </c>
    </row>
    <row r="270" spans="11:17">
      <c r="K270" s="134">
        <v>265</v>
      </c>
      <c r="L270" s="30">
        <f t="shared" si="28"/>
        <v>163482.82931928555</v>
      </c>
      <c r="M270" s="30">
        <f t="shared" si="25"/>
        <v>817.41414659642771</v>
      </c>
      <c r="N270" s="30">
        <f t="shared" si="24"/>
        <v>4973.4644079554992</v>
      </c>
      <c r="O270" s="30">
        <f t="shared" si="23"/>
        <v>4973.4644079554992</v>
      </c>
      <c r="P270" s="30">
        <f t="shared" si="26"/>
        <v>4156.0502613590716</v>
      </c>
      <c r="Q270" s="96">
        <f t="shared" si="27"/>
        <v>159326.77905792647</v>
      </c>
    </row>
    <row r="271" spans="11:17">
      <c r="K271" s="134">
        <v>266</v>
      </c>
      <c r="L271" s="30">
        <f t="shared" si="28"/>
        <v>159326.77905792647</v>
      </c>
      <c r="M271" s="30">
        <f t="shared" si="25"/>
        <v>796.63389528963239</v>
      </c>
      <c r="N271" s="30">
        <f t="shared" si="24"/>
        <v>4973.4644079554992</v>
      </c>
      <c r="O271" s="30">
        <f t="shared" si="23"/>
        <v>4973.4644079554992</v>
      </c>
      <c r="P271" s="30">
        <f t="shared" si="26"/>
        <v>4176.830512665867</v>
      </c>
      <c r="Q271" s="96">
        <f t="shared" si="27"/>
        <v>155149.94854526059</v>
      </c>
    </row>
    <row r="272" spans="11:17">
      <c r="K272" s="134">
        <v>267</v>
      </c>
      <c r="L272" s="30">
        <f t="shared" si="28"/>
        <v>155149.94854526059</v>
      </c>
      <c r="M272" s="30">
        <f t="shared" si="25"/>
        <v>775.749742726303</v>
      </c>
      <c r="N272" s="30">
        <f t="shared" si="24"/>
        <v>4973.4644079554992</v>
      </c>
      <c r="O272" s="30">
        <f t="shared" si="23"/>
        <v>4973.4644079554992</v>
      </c>
      <c r="P272" s="30">
        <f t="shared" si="26"/>
        <v>4197.7146652291958</v>
      </c>
      <c r="Q272" s="96">
        <f t="shared" si="27"/>
        <v>150952.23388003139</v>
      </c>
    </row>
    <row r="273" spans="11:17">
      <c r="K273" s="134">
        <v>268</v>
      </c>
      <c r="L273" s="30">
        <f t="shared" si="28"/>
        <v>150952.23388003139</v>
      </c>
      <c r="M273" s="30">
        <f t="shared" si="25"/>
        <v>754.76116940015697</v>
      </c>
      <c r="N273" s="30">
        <f t="shared" si="24"/>
        <v>4973.4644079554992</v>
      </c>
      <c r="O273" s="30">
        <f t="shared" si="23"/>
        <v>4973.4644079554992</v>
      </c>
      <c r="P273" s="30">
        <f t="shared" si="26"/>
        <v>4218.7032385553421</v>
      </c>
      <c r="Q273" s="96">
        <f t="shared" si="27"/>
        <v>146733.53064147604</v>
      </c>
    </row>
    <row r="274" spans="11:17">
      <c r="K274" s="134">
        <v>269</v>
      </c>
      <c r="L274" s="30">
        <f t="shared" si="28"/>
        <v>146733.53064147604</v>
      </c>
      <c r="M274" s="30">
        <f t="shared" si="25"/>
        <v>733.66765320738023</v>
      </c>
      <c r="N274" s="30">
        <f t="shared" si="24"/>
        <v>4973.4644079554992</v>
      </c>
      <c r="O274" s="30">
        <f t="shared" si="23"/>
        <v>4973.4644079554992</v>
      </c>
      <c r="P274" s="30">
        <f t="shared" si="26"/>
        <v>4239.7967547481185</v>
      </c>
      <c r="Q274" s="96">
        <f t="shared" si="27"/>
        <v>142493.73388672792</v>
      </c>
    </row>
    <row r="275" spans="11:17">
      <c r="K275" s="134">
        <v>270</v>
      </c>
      <c r="L275" s="30">
        <f t="shared" si="28"/>
        <v>142493.73388672792</v>
      </c>
      <c r="M275" s="30">
        <f t="shared" si="25"/>
        <v>712.46866943363955</v>
      </c>
      <c r="N275" s="30">
        <f t="shared" si="24"/>
        <v>4973.4644079554992</v>
      </c>
      <c r="O275" s="30">
        <f t="shared" si="23"/>
        <v>4973.4644079554992</v>
      </c>
      <c r="P275" s="30">
        <f t="shared" si="26"/>
        <v>4260.9957385218595</v>
      </c>
      <c r="Q275" s="96">
        <f t="shared" si="27"/>
        <v>138232.73814820606</v>
      </c>
    </row>
    <row r="276" spans="11:17">
      <c r="K276" s="134">
        <v>271</v>
      </c>
      <c r="L276" s="30">
        <f t="shared" si="28"/>
        <v>138232.73814820606</v>
      </c>
      <c r="M276" s="30">
        <f t="shared" si="25"/>
        <v>691.16369074103034</v>
      </c>
      <c r="N276" s="30">
        <f t="shared" si="24"/>
        <v>4973.4644079554992</v>
      </c>
      <c r="O276" s="30">
        <f t="shared" si="23"/>
        <v>4973.4644079554992</v>
      </c>
      <c r="P276" s="30">
        <f t="shared" si="26"/>
        <v>4282.3007172144689</v>
      </c>
      <c r="Q276" s="96">
        <f t="shared" si="27"/>
        <v>133950.43743099159</v>
      </c>
    </row>
    <row r="277" spans="11:17">
      <c r="K277" s="134">
        <v>272</v>
      </c>
      <c r="L277" s="30">
        <f t="shared" si="28"/>
        <v>133950.43743099159</v>
      </c>
      <c r="M277" s="30">
        <f t="shared" si="25"/>
        <v>669.75218715495794</v>
      </c>
      <c r="N277" s="30">
        <f t="shared" si="24"/>
        <v>4973.4644079554992</v>
      </c>
      <c r="O277" s="30">
        <f t="shared" si="23"/>
        <v>4973.4644079554992</v>
      </c>
      <c r="P277" s="30">
        <f t="shared" si="26"/>
        <v>4303.7122208005412</v>
      </c>
      <c r="Q277" s="96">
        <f t="shared" si="27"/>
        <v>129646.72521019104</v>
      </c>
    </row>
    <row r="278" spans="11:17">
      <c r="K278" s="134">
        <v>273</v>
      </c>
      <c r="L278" s="30">
        <f t="shared" si="28"/>
        <v>129646.72521019104</v>
      </c>
      <c r="M278" s="30">
        <f t="shared" si="25"/>
        <v>648.23362605095519</v>
      </c>
      <c r="N278" s="30">
        <f t="shared" si="24"/>
        <v>4973.4644079554992</v>
      </c>
      <c r="O278" s="30">
        <f t="shared" si="23"/>
        <v>4973.4644079554992</v>
      </c>
      <c r="P278" s="30">
        <f t="shared" si="26"/>
        <v>4325.2307819045436</v>
      </c>
      <c r="Q278" s="96">
        <f t="shared" si="27"/>
        <v>125321.4944282865</v>
      </c>
    </row>
    <row r="279" spans="11:17">
      <c r="K279" s="134">
        <v>274</v>
      </c>
      <c r="L279" s="30">
        <f t="shared" si="28"/>
        <v>125321.4944282865</v>
      </c>
      <c r="M279" s="30">
        <f t="shared" si="25"/>
        <v>626.60747214143248</v>
      </c>
      <c r="N279" s="30">
        <f t="shared" si="24"/>
        <v>4973.4644079554992</v>
      </c>
      <c r="O279" s="30">
        <f t="shared" si="23"/>
        <v>4973.4644079554992</v>
      </c>
      <c r="P279" s="30">
        <f t="shared" si="26"/>
        <v>4346.8569358140667</v>
      </c>
      <c r="Q279" s="96">
        <f t="shared" si="27"/>
        <v>120974.63749247244</v>
      </c>
    </row>
    <row r="280" spans="11:17">
      <c r="K280" s="134">
        <v>275</v>
      </c>
      <c r="L280" s="30">
        <f t="shared" si="28"/>
        <v>120974.63749247244</v>
      </c>
      <c r="M280" s="30">
        <f t="shared" si="25"/>
        <v>604.87318746236224</v>
      </c>
      <c r="N280" s="30">
        <f t="shared" si="24"/>
        <v>4973.4644079554992</v>
      </c>
      <c r="O280" s="30">
        <f t="shared" si="23"/>
        <v>4973.4644079554992</v>
      </c>
      <c r="P280" s="30">
        <f t="shared" si="26"/>
        <v>4368.5912204931374</v>
      </c>
      <c r="Q280" s="96">
        <f t="shared" si="27"/>
        <v>116606.0462719793</v>
      </c>
    </row>
    <row r="281" spans="11:17">
      <c r="K281" s="134">
        <v>276</v>
      </c>
      <c r="L281" s="30">
        <f t="shared" si="28"/>
        <v>116606.0462719793</v>
      </c>
      <c r="M281" s="30">
        <f t="shared" si="25"/>
        <v>583.03023135989656</v>
      </c>
      <c r="N281" s="30">
        <f t="shared" si="24"/>
        <v>4973.4644079554992</v>
      </c>
      <c r="O281" s="30">
        <f t="shared" si="23"/>
        <v>4973.4644079554992</v>
      </c>
      <c r="P281" s="30">
        <f t="shared" si="26"/>
        <v>4390.4341765956024</v>
      </c>
      <c r="Q281" s="96">
        <f t="shared" si="27"/>
        <v>112215.61209538369</v>
      </c>
    </row>
    <row r="282" spans="11:17">
      <c r="K282" s="134">
        <v>277</v>
      </c>
      <c r="L282" s="30">
        <f t="shared" si="28"/>
        <v>112215.61209538369</v>
      </c>
      <c r="M282" s="30">
        <f t="shared" si="25"/>
        <v>561.07806047691849</v>
      </c>
      <c r="N282" s="30">
        <f t="shared" si="24"/>
        <v>4973.4644079554992</v>
      </c>
      <c r="O282" s="30">
        <f t="shared" si="23"/>
        <v>4973.4644079554992</v>
      </c>
      <c r="P282" s="30">
        <f t="shared" si="26"/>
        <v>4412.3863474785803</v>
      </c>
      <c r="Q282" s="96">
        <f t="shared" si="27"/>
        <v>107803.22574790512</v>
      </c>
    </row>
    <row r="283" spans="11:17">
      <c r="K283" s="134">
        <v>278</v>
      </c>
      <c r="L283" s="30">
        <f t="shared" si="28"/>
        <v>107803.22574790512</v>
      </c>
      <c r="M283" s="30">
        <f t="shared" si="25"/>
        <v>539.01612873952558</v>
      </c>
      <c r="N283" s="30">
        <f t="shared" si="24"/>
        <v>4973.4644079554992</v>
      </c>
      <c r="O283" s="30">
        <f t="shared" si="23"/>
        <v>4973.4644079554992</v>
      </c>
      <c r="P283" s="30">
        <f t="shared" si="26"/>
        <v>4434.4482792159733</v>
      </c>
      <c r="Q283" s="96">
        <f t="shared" si="27"/>
        <v>103368.77746868915</v>
      </c>
    </row>
    <row r="284" spans="11:17">
      <c r="K284" s="134">
        <v>279</v>
      </c>
      <c r="L284" s="30">
        <f t="shared" si="28"/>
        <v>103368.77746868915</v>
      </c>
      <c r="M284" s="30">
        <f t="shared" si="25"/>
        <v>516.84388734344577</v>
      </c>
      <c r="N284" s="30">
        <f t="shared" si="24"/>
        <v>4973.4644079554992</v>
      </c>
      <c r="O284" s="30">
        <f t="shared" si="23"/>
        <v>4973.4644079554992</v>
      </c>
      <c r="P284" s="30">
        <f t="shared" si="26"/>
        <v>4456.620520612053</v>
      </c>
      <c r="Q284" s="96">
        <f t="shared" si="27"/>
        <v>98912.1569480771</v>
      </c>
    </row>
    <row r="285" spans="11:17">
      <c r="K285" s="134">
        <v>280</v>
      </c>
      <c r="L285" s="30">
        <f t="shared" si="28"/>
        <v>98912.1569480771</v>
      </c>
      <c r="M285" s="30">
        <f t="shared" si="25"/>
        <v>494.56078474038549</v>
      </c>
      <c r="N285" s="30">
        <f t="shared" si="24"/>
        <v>4973.4644079554992</v>
      </c>
      <c r="O285" s="30">
        <f t="shared" si="23"/>
        <v>4973.4644079554992</v>
      </c>
      <c r="P285" s="30">
        <f t="shared" si="26"/>
        <v>4478.9036232151138</v>
      </c>
      <c r="Q285" s="96">
        <f t="shared" si="27"/>
        <v>94433.253324861987</v>
      </c>
    </row>
    <row r="286" spans="11:17">
      <c r="K286" s="134">
        <v>281</v>
      </c>
      <c r="L286" s="30">
        <f t="shared" si="28"/>
        <v>94433.253324861987</v>
      </c>
      <c r="M286" s="30">
        <f t="shared" si="25"/>
        <v>472.16626662430997</v>
      </c>
      <c r="N286" s="30">
        <f t="shared" si="24"/>
        <v>4973.4644079554992</v>
      </c>
      <c r="O286" s="30">
        <f t="shared" si="23"/>
        <v>4973.4644079554992</v>
      </c>
      <c r="P286" s="30">
        <f t="shared" si="26"/>
        <v>4501.2981413311891</v>
      </c>
      <c r="Q286" s="96">
        <f t="shared" si="27"/>
        <v>89931.955183530794</v>
      </c>
    </row>
    <row r="287" spans="11:17">
      <c r="K287" s="134">
        <v>282</v>
      </c>
      <c r="L287" s="30">
        <f t="shared" si="28"/>
        <v>89931.955183530794</v>
      </c>
      <c r="M287" s="30">
        <f t="shared" si="25"/>
        <v>449.65977591765397</v>
      </c>
      <c r="N287" s="30">
        <f t="shared" si="24"/>
        <v>4973.4644079554992</v>
      </c>
      <c r="O287" s="30">
        <f t="shared" si="23"/>
        <v>4973.4644079554992</v>
      </c>
      <c r="P287" s="30">
        <f t="shared" si="26"/>
        <v>4523.8046320378453</v>
      </c>
      <c r="Q287" s="96">
        <f t="shared" si="27"/>
        <v>85408.150551492945</v>
      </c>
    </row>
    <row r="288" spans="11:17">
      <c r="K288" s="134">
        <v>283</v>
      </c>
      <c r="L288" s="30">
        <f t="shared" si="28"/>
        <v>85408.150551492945</v>
      </c>
      <c r="M288" s="30">
        <f t="shared" si="25"/>
        <v>427.04075275746476</v>
      </c>
      <c r="N288" s="30">
        <f t="shared" si="24"/>
        <v>4973.4644079554992</v>
      </c>
      <c r="O288" s="30">
        <f t="shared" si="23"/>
        <v>4973.4644079554992</v>
      </c>
      <c r="P288" s="30">
        <f t="shared" si="26"/>
        <v>4546.4236551980348</v>
      </c>
      <c r="Q288" s="96">
        <f t="shared" si="27"/>
        <v>80861.726896294917</v>
      </c>
    </row>
    <row r="289" spans="11:17">
      <c r="K289" s="134">
        <v>284</v>
      </c>
      <c r="L289" s="30">
        <f t="shared" si="28"/>
        <v>80861.726896294917</v>
      </c>
      <c r="M289" s="30">
        <f t="shared" si="25"/>
        <v>404.3086344814746</v>
      </c>
      <c r="N289" s="30">
        <f t="shared" si="24"/>
        <v>4973.4644079554992</v>
      </c>
      <c r="O289" s="30">
        <f t="shared" si="23"/>
        <v>4973.4644079554992</v>
      </c>
      <c r="P289" s="30">
        <f t="shared" si="26"/>
        <v>4569.1557734740245</v>
      </c>
      <c r="Q289" s="96">
        <f t="shared" si="27"/>
        <v>76292.571122820897</v>
      </c>
    </row>
    <row r="290" spans="11:17">
      <c r="K290" s="134">
        <v>285</v>
      </c>
      <c r="L290" s="30">
        <f t="shared" si="28"/>
        <v>76292.571122820897</v>
      </c>
      <c r="M290" s="30">
        <f t="shared" si="25"/>
        <v>381.46285561410451</v>
      </c>
      <c r="N290" s="30">
        <f t="shared" si="24"/>
        <v>4973.4644079554992</v>
      </c>
      <c r="O290" s="30">
        <f t="shared" si="23"/>
        <v>4973.4644079554992</v>
      </c>
      <c r="P290" s="30">
        <f t="shared" si="26"/>
        <v>4592.0015523413949</v>
      </c>
      <c r="Q290" s="96">
        <f t="shared" si="27"/>
        <v>71700.569570479507</v>
      </c>
    </row>
    <row r="291" spans="11:17">
      <c r="K291" s="134">
        <v>286</v>
      </c>
      <c r="L291" s="30">
        <f t="shared" si="28"/>
        <v>71700.569570479507</v>
      </c>
      <c r="M291" s="30">
        <f t="shared" si="25"/>
        <v>358.50284785239757</v>
      </c>
      <c r="N291" s="30">
        <f t="shared" si="24"/>
        <v>4973.4644079554992</v>
      </c>
      <c r="O291" s="30">
        <f t="shared" si="23"/>
        <v>4973.4644079554992</v>
      </c>
      <c r="P291" s="30">
        <f t="shared" si="26"/>
        <v>4614.9615601031019</v>
      </c>
      <c r="Q291" s="96">
        <f t="shared" si="27"/>
        <v>67085.608010376411</v>
      </c>
    </row>
    <row r="292" spans="11:17">
      <c r="K292" s="134">
        <v>287</v>
      </c>
      <c r="L292" s="30">
        <f t="shared" si="28"/>
        <v>67085.608010376411</v>
      </c>
      <c r="M292" s="30">
        <f t="shared" si="25"/>
        <v>335.42804005188208</v>
      </c>
      <c r="N292" s="30">
        <f t="shared" si="24"/>
        <v>4973.4644079554992</v>
      </c>
      <c r="O292" s="30">
        <f t="shared" si="23"/>
        <v>4973.4644079554992</v>
      </c>
      <c r="P292" s="30">
        <f t="shared" si="26"/>
        <v>4638.0363679036172</v>
      </c>
      <c r="Q292" s="96">
        <f t="shared" si="27"/>
        <v>62447.571642472794</v>
      </c>
    </row>
    <row r="293" spans="11:17">
      <c r="K293" s="134">
        <v>288</v>
      </c>
      <c r="L293" s="30">
        <f t="shared" si="28"/>
        <v>62447.571642472794</v>
      </c>
      <c r="M293" s="30">
        <f t="shared" si="25"/>
        <v>312.23785821236396</v>
      </c>
      <c r="N293" s="30">
        <f t="shared" si="24"/>
        <v>4973.4644079554992</v>
      </c>
      <c r="O293" s="30">
        <f t="shared" si="23"/>
        <v>4973.4644079554992</v>
      </c>
      <c r="P293" s="30">
        <f t="shared" si="26"/>
        <v>4661.2265497431354</v>
      </c>
      <c r="Q293" s="96">
        <f t="shared" si="27"/>
        <v>57786.345092729658</v>
      </c>
    </row>
    <row r="294" spans="11:17">
      <c r="K294" s="134">
        <v>289</v>
      </c>
      <c r="L294" s="30">
        <f t="shared" si="28"/>
        <v>57786.345092729658</v>
      </c>
      <c r="M294" s="30">
        <f t="shared" si="25"/>
        <v>288.93172546364832</v>
      </c>
      <c r="N294" s="30">
        <f t="shared" si="24"/>
        <v>4973.4644079554992</v>
      </c>
      <c r="O294" s="30">
        <f t="shared" si="23"/>
        <v>4973.4644079554992</v>
      </c>
      <c r="P294" s="30">
        <f t="shared" si="26"/>
        <v>4684.5326824918511</v>
      </c>
      <c r="Q294" s="96">
        <f t="shared" si="27"/>
        <v>53101.812410237806</v>
      </c>
    </row>
    <row r="295" spans="11:17">
      <c r="K295" s="134">
        <v>290</v>
      </c>
      <c r="L295" s="30">
        <f t="shared" si="28"/>
        <v>53101.812410237806</v>
      </c>
      <c r="M295" s="30">
        <f t="shared" si="25"/>
        <v>265.50906205118906</v>
      </c>
      <c r="N295" s="30">
        <f t="shared" si="24"/>
        <v>4973.4644079554992</v>
      </c>
      <c r="O295" s="30">
        <f t="shared" si="23"/>
        <v>4973.4644079554992</v>
      </c>
      <c r="P295" s="30">
        <f t="shared" si="26"/>
        <v>4707.95534590431</v>
      </c>
      <c r="Q295" s="96">
        <f t="shared" si="27"/>
        <v>48393.857064333497</v>
      </c>
    </row>
    <row r="296" spans="11:17">
      <c r="K296" s="134">
        <v>291</v>
      </c>
      <c r="L296" s="30">
        <f t="shared" si="28"/>
        <v>48393.857064333497</v>
      </c>
      <c r="M296" s="30">
        <f t="shared" si="25"/>
        <v>241.96928532166748</v>
      </c>
      <c r="N296" s="30">
        <f t="shared" si="24"/>
        <v>4973.4644079554992</v>
      </c>
      <c r="O296" s="30">
        <f t="shared" si="23"/>
        <v>4973.4644079554992</v>
      </c>
      <c r="P296" s="30">
        <f t="shared" si="26"/>
        <v>4731.4951226338317</v>
      </c>
      <c r="Q296" s="96">
        <f t="shared" si="27"/>
        <v>43662.361941699666</v>
      </c>
    </row>
    <row r="297" spans="11:17">
      <c r="K297" s="134">
        <v>292</v>
      </c>
      <c r="L297" s="30">
        <f t="shared" si="28"/>
        <v>43662.361941699666</v>
      </c>
      <c r="M297" s="30">
        <f t="shared" si="25"/>
        <v>218.31180970849834</v>
      </c>
      <c r="N297" s="30">
        <f t="shared" si="24"/>
        <v>4973.4644079554992</v>
      </c>
      <c r="O297" s="30">
        <f t="shared" si="23"/>
        <v>4973.4644079554992</v>
      </c>
      <c r="P297" s="30">
        <f t="shared" si="26"/>
        <v>4755.1525982470012</v>
      </c>
      <c r="Q297" s="96">
        <f t="shared" si="27"/>
        <v>38907.209343452661</v>
      </c>
    </row>
    <row r="298" spans="11:17">
      <c r="K298" s="134">
        <v>293</v>
      </c>
      <c r="L298" s="30">
        <f t="shared" si="28"/>
        <v>38907.209343452661</v>
      </c>
      <c r="M298" s="30">
        <f t="shared" si="25"/>
        <v>194.5360467172633</v>
      </c>
      <c r="N298" s="30">
        <f t="shared" si="24"/>
        <v>4973.4644079554992</v>
      </c>
      <c r="O298" s="30">
        <f t="shared" si="23"/>
        <v>4973.4644079554992</v>
      </c>
      <c r="P298" s="30">
        <f t="shared" si="26"/>
        <v>4778.928361238236</v>
      </c>
      <c r="Q298" s="96">
        <f t="shared" si="27"/>
        <v>34128.280982214426</v>
      </c>
    </row>
    <row r="299" spans="11:17">
      <c r="K299" s="134">
        <v>294</v>
      </c>
      <c r="L299" s="30">
        <f t="shared" si="28"/>
        <v>34128.280982214426</v>
      </c>
      <c r="M299" s="30">
        <f t="shared" si="25"/>
        <v>170.64140491107213</v>
      </c>
      <c r="N299" s="30">
        <f t="shared" si="24"/>
        <v>4973.4644079554992</v>
      </c>
      <c r="O299" s="30">
        <f t="shared" si="23"/>
        <v>4973.4644079554992</v>
      </c>
      <c r="P299" s="30">
        <f t="shared" si="26"/>
        <v>4802.8230030444274</v>
      </c>
      <c r="Q299" s="96">
        <f t="shared" si="27"/>
        <v>29325.457979169998</v>
      </c>
    </row>
    <row r="300" spans="11:17">
      <c r="K300" s="134">
        <v>295</v>
      </c>
      <c r="L300" s="30">
        <f t="shared" si="28"/>
        <v>29325.457979169998</v>
      </c>
      <c r="M300" s="30">
        <f t="shared" si="25"/>
        <v>146.62728989585</v>
      </c>
      <c r="N300" s="30">
        <f t="shared" si="24"/>
        <v>4973.4644079554992</v>
      </c>
      <c r="O300" s="30">
        <f t="shared" si="23"/>
        <v>4973.4644079554992</v>
      </c>
      <c r="P300" s="30">
        <f t="shared" si="26"/>
        <v>4826.8371180596496</v>
      </c>
      <c r="Q300" s="96">
        <f t="shared" si="27"/>
        <v>24498.62086111035</v>
      </c>
    </row>
    <row r="301" spans="11:17">
      <c r="K301" s="134">
        <v>296</v>
      </c>
      <c r="L301" s="30">
        <f t="shared" si="28"/>
        <v>24498.62086111035</v>
      </c>
      <c r="M301" s="30">
        <f t="shared" si="25"/>
        <v>122.49310430555175</v>
      </c>
      <c r="N301" s="30">
        <f t="shared" si="24"/>
        <v>4973.4644079554992</v>
      </c>
      <c r="O301" s="30">
        <f t="shared" si="23"/>
        <v>4973.4644079554992</v>
      </c>
      <c r="P301" s="30">
        <f t="shared" si="26"/>
        <v>4850.971303649947</v>
      </c>
      <c r="Q301" s="96">
        <f t="shared" si="27"/>
        <v>19647.649557460405</v>
      </c>
    </row>
    <row r="302" spans="11:17">
      <c r="K302" s="134">
        <v>297</v>
      </c>
      <c r="L302" s="30">
        <f t="shared" si="28"/>
        <v>19647.649557460405</v>
      </c>
      <c r="M302" s="30">
        <f t="shared" si="25"/>
        <v>98.238247787302029</v>
      </c>
      <c r="N302" s="30">
        <f t="shared" si="24"/>
        <v>4973.4644079554992</v>
      </c>
      <c r="O302" s="30">
        <f t="shared" si="23"/>
        <v>4973.4644079554992</v>
      </c>
      <c r="P302" s="30">
        <f t="shared" si="26"/>
        <v>4875.2261601681976</v>
      </c>
      <c r="Q302" s="96">
        <f t="shared" si="27"/>
        <v>14772.423397292208</v>
      </c>
    </row>
    <row r="303" spans="11:17">
      <c r="K303" s="134">
        <v>298</v>
      </c>
      <c r="L303" s="30">
        <f t="shared" si="28"/>
        <v>14772.423397292208</v>
      </c>
      <c r="M303" s="30">
        <f t="shared" si="25"/>
        <v>73.862116986461047</v>
      </c>
      <c r="N303" s="30">
        <f t="shared" si="24"/>
        <v>4973.4644079554992</v>
      </c>
      <c r="O303" s="30">
        <f t="shared" si="23"/>
        <v>4973.4644079554992</v>
      </c>
      <c r="P303" s="30">
        <f t="shared" si="26"/>
        <v>4899.6022909690382</v>
      </c>
      <c r="Q303" s="96">
        <f t="shared" si="27"/>
        <v>9872.8211063231702</v>
      </c>
    </row>
    <row r="304" spans="11:17">
      <c r="K304" s="134">
        <v>299</v>
      </c>
      <c r="L304" s="30">
        <f t="shared" si="28"/>
        <v>9872.8211063231702</v>
      </c>
      <c r="M304" s="30">
        <f t="shared" si="25"/>
        <v>49.364105531615849</v>
      </c>
      <c r="N304" s="30">
        <f t="shared" si="24"/>
        <v>4973.4644079554992</v>
      </c>
      <c r="O304" s="30">
        <f t="shared" si="23"/>
        <v>4973.4644079554992</v>
      </c>
      <c r="P304" s="30">
        <f t="shared" si="26"/>
        <v>4924.1003024238835</v>
      </c>
      <c r="Q304" s="96">
        <f t="shared" si="27"/>
        <v>4948.7208038992867</v>
      </c>
    </row>
    <row r="305" spans="11:17">
      <c r="K305" s="135">
        <v>300</v>
      </c>
      <c r="L305" s="147">
        <f t="shared" si="28"/>
        <v>4948.7208038992867</v>
      </c>
      <c r="M305" s="147">
        <f t="shared" si="25"/>
        <v>24.743604019496434</v>
      </c>
      <c r="N305" s="147">
        <f t="shared" si="24"/>
        <v>4973.4644079554992</v>
      </c>
      <c r="O305" s="147">
        <f t="shared" si="23"/>
        <v>4973.4644079554992</v>
      </c>
      <c r="P305" s="147">
        <f t="shared" si="26"/>
        <v>4948.720803936003</v>
      </c>
      <c r="Q305" s="138">
        <f t="shared" si="27"/>
        <v>-3.6716301110573113E-8</v>
      </c>
    </row>
    <row r="306" spans="11:17">
      <c r="M306" s="25">
        <f>+SUM(M6:M305)</f>
        <v>707691.45790928346</v>
      </c>
    </row>
  </sheetData>
  <mergeCells count="1">
    <mergeCell ref="L3:Q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310"/>
  <sheetViews>
    <sheetView topLeftCell="B286" workbookViewId="0">
      <selection activeCell="H5" sqref="H5"/>
    </sheetView>
  </sheetViews>
  <sheetFormatPr baseColWidth="10" defaultRowHeight="12"/>
  <cols>
    <col min="1" max="1" width="1.7109375" style="23" customWidth="1"/>
    <col min="2" max="2" width="14.5703125" style="23" customWidth="1"/>
    <col min="3" max="3" width="18.42578125" style="23" customWidth="1"/>
    <col min="4" max="5" width="11.42578125" style="23"/>
    <col min="6" max="6" width="1.85546875" style="23" customWidth="1"/>
    <col min="7" max="7" width="12.7109375" style="23" customWidth="1"/>
    <col min="8" max="10" width="11.42578125" style="23"/>
    <col min="11" max="11" width="16.140625" style="23" bestFit="1" customWidth="1"/>
    <col min="12" max="12" width="21.140625" style="23" bestFit="1" customWidth="1"/>
    <col min="13" max="14" width="15.7109375" style="23" customWidth="1"/>
    <col min="15" max="15" width="14.7109375" style="23" bestFit="1" customWidth="1"/>
    <col min="16" max="16" width="12.7109375" style="23" bestFit="1" customWidth="1"/>
    <col min="17" max="17" width="17.7109375" style="23" bestFit="1" customWidth="1"/>
    <col min="18" max="18" width="16.140625" style="23" bestFit="1" customWidth="1"/>
    <col min="19" max="16384" width="11.42578125" style="23"/>
  </cols>
  <sheetData>
    <row r="3" spans="2:18">
      <c r="B3" s="1"/>
      <c r="C3" s="1"/>
      <c r="D3" s="7" t="s">
        <v>7</v>
      </c>
      <c r="G3" s="5" t="s">
        <v>87</v>
      </c>
    </row>
    <row r="4" spans="2:18">
      <c r="B4" s="6" t="s">
        <v>57</v>
      </c>
      <c r="C4" s="1"/>
      <c r="D4" s="7">
        <f>+'tabla financiera '!D3</f>
        <v>694200</v>
      </c>
    </row>
    <row r="5" spans="2:18">
      <c r="B5" s="1"/>
      <c r="C5" s="1"/>
      <c r="D5" s="1"/>
      <c r="G5" s="7" t="s">
        <v>83</v>
      </c>
      <c r="H5" s="7">
        <f>+D4-'fuentes de financiacion'!D16</f>
        <v>679200</v>
      </c>
      <c r="I5" s="7" t="s">
        <v>71</v>
      </c>
    </row>
    <row r="6" spans="2:18">
      <c r="B6" s="6" t="s">
        <v>61</v>
      </c>
      <c r="C6" s="1"/>
      <c r="D6" s="7">
        <v>12</v>
      </c>
      <c r="G6" s="7" t="s">
        <v>82</v>
      </c>
      <c r="H6" s="7">
        <f>-'tabla financiera '!N6</f>
        <v>-3471</v>
      </c>
      <c r="I6" s="40">
        <v>1</v>
      </c>
      <c r="J6" s="5" t="s">
        <v>86</v>
      </c>
    </row>
    <row r="7" spans="2:18">
      <c r="B7" s="1"/>
      <c r="C7" s="1"/>
      <c r="D7" s="7" t="s">
        <v>14</v>
      </c>
      <c r="G7" s="7" t="s">
        <v>82</v>
      </c>
      <c r="H7" s="7">
        <f>-'tabla financiera '!N7</f>
        <v>-3471</v>
      </c>
      <c r="I7" s="40">
        <v>2</v>
      </c>
    </row>
    <row r="8" spans="2:18">
      <c r="B8" s="9" t="s">
        <v>62</v>
      </c>
      <c r="C8" s="1"/>
      <c r="D8" s="7">
        <f>+'fuentes de financiacion'!D18</f>
        <v>5</v>
      </c>
      <c r="G8" s="7" t="s">
        <v>82</v>
      </c>
      <c r="H8" s="7">
        <f>-'tabla financiera '!N8</f>
        <v>-3471</v>
      </c>
      <c r="I8" s="40">
        <v>3</v>
      </c>
      <c r="J8" s="7" t="s">
        <v>43</v>
      </c>
      <c r="K8" s="7" t="s">
        <v>88</v>
      </c>
      <c r="L8" s="7" t="s">
        <v>95</v>
      </c>
      <c r="O8" s="7" t="s">
        <v>91</v>
      </c>
      <c r="P8" s="7" t="s">
        <v>93</v>
      </c>
      <c r="Q8" s="45" t="s">
        <v>98</v>
      </c>
      <c r="R8" s="7" t="s">
        <v>88</v>
      </c>
    </row>
    <row r="9" spans="2:18">
      <c r="B9" s="9"/>
      <c r="C9" s="1"/>
      <c r="D9" s="7" t="s">
        <v>43</v>
      </c>
      <c r="G9" s="7" t="s">
        <v>82</v>
      </c>
      <c r="H9" s="7">
        <f>-'tabla financiera '!N9</f>
        <v>-3471</v>
      </c>
      <c r="I9" s="40">
        <v>4</v>
      </c>
      <c r="J9" s="7" t="s">
        <v>71</v>
      </c>
      <c r="K9" s="7" t="s">
        <v>89</v>
      </c>
      <c r="L9" s="7" t="s">
        <v>90</v>
      </c>
      <c r="M9" s="7" t="s">
        <v>96</v>
      </c>
      <c r="N9" s="7" t="s">
        <v>97</v>
      </c>
      <c r="O9" s="7" t="s">
        <v>92</v>
      </c>
      <c r="P9" s="7" t="s">
        <v>99</v>
      </c>
      <c r="Q9" s="7" t="s">
        <v>79</v>
      </c>
      <c r="R9" s="7" t="s">
        <v>94</v>
      </c>
    </row>
    <row r="10" spans="2:18">
      <c r="B10" s="6" t="s">
        <v>58</v>
      </c>
      <c r="C10" s="1"/>
      <c r="D10" s="7">
        <f>+'tabla financiera '!D9</f>
        <v>60</v>
      </c>
      <c r="G10" s="7" t="s">
        <v>82</v>
      </c>
      <c r="H10" s="7">
        <f>-'tabla financiera '!N10</f>
        <v>-3471</v>
      </c>
      <c r="I10" s="40">
        <v>5</v>
      </c>
      <c r="J10" s="40">
        <v>1</v>
      </c>
      <c r="K10" s="7">
        <f>+H5</f>
        <v>679200</v>
      </c>
      <c r="L10" s="7">
        <f>+K10*H$306</f>
        <v>3516.8417637072107</v>
      </c>
      <c r="M10" s="7">
        <f>+'tabla financiera '!M6</f>
        <v>3471</v>
      </c>
      <c r="N10" s="7">
        <f>+L10-M10</f>
        <v>45.841763707210703</v>
      </c>
      <c r="O10" s="23">
        <f>-H6</f>
        <v>3471</v>
      </c>
      <c r="P10" s="7">
        <f>+M10</f>
        <v>3471</v>
      </c>
      <c r="Q10" s="7">
        <f>+O10-L10</f>
        <v>-45.841763707210703</v>
      </c>
      <c r="R10" s="7">
        <f>+K10-Q10</f>
        <v>679245.84176370723</v>
      </c>
    </row>
    <row r="11" spans="2:18">
      <c r="B11" s="6" t="s">
        <v>60</v>
      </c>
      <c r="C11" s="1"/>
      <c r="D11" s="7">
        <f>+'tabla financiera '!D10</f>
        <v>240</v>
      </c>
      <c r="G11" s="7" t="s">
        <v>82</v>
      </c>
      <c r="H11" s="7">
        <f>-'tabla financiera '!N11</f>
        <v>-3471</v>
      </c>
      <c r="I11" s="40">
        <v>6</v>
      </c>
      <c r="J11" s="40">
        <v>2</v>
      </c>
      <c r="K11" s="23">
        <f>+R10</f>
        <v>679245.84176370723</v>
      </c>
      <c r="L11" s="7">
        <f t="shared" ref="L11:L74" si="0">+K11*H$306</f>
        <v>3517.0791285910855</v>
      </c>
      <c r="M11" s="7">
        <f>+'tabla financiera '!M7</f>
        <v>3471</v>
      </c>
      <c r="N11" s="7">
        <f t="shared" ref="N11:N74" si="1">+L11-M11</f>
        <v>46.079128591085464</v>
      </c>
      <c r="O11" s="23">
        <f t="shared" ref="O11:O74" si="2">-H7</f>
        <v>3471</v>
      </c>
      <c r="P11" s="23">
        <f>+M11</f>
        <v>3471</v>
      </c>
      <c r="Q11" s="7">
        <f t="shared" ref="Q11:Q74" si="3">+O11-L11</f>
        <v>-46.079128591085464</v>
      </c>
      <c r="R11" s="7">
        <f t="shared" ref="R11:R74" si="4">+K11-Q11</f>
        <v>679291.92089229834</v>
      </c>
    </row>
    <row r="12" spans="2:18">
      <c r="B12" s="1"/>
      <c r="C12" s="1"/>
      <c r="D12" s="1"/>
      <c r="G12" s="7" t="s">
        <v>82</v>
      </c>
      <c r="H12" s="7">
        <f>-'tabla financiera '!N12</f>
        <v>-3471</v>
      </c>
      <c r="I12" s="40">
        <v>7</v>
      </c>
      <c r="J12" s="40">
        <v>3</v>
      </c>
      <c r="K12" s="23">
        <f t="shared" ref="K12:K75" si="5">+R11</f>
        <v>679291.92089229834</v>
      </c>
      <c r="L12" s="7">
        <f t="shared" si="0"/>
        <v>3517.317722530815</v>
      </c>
      <c r="M12" s="7">
        <f>+'tabla financiera '!M8</f>
        <v>3471</v>
      </c>
      <c r="N12" s="7">
        <f t="shared" si="1"/>
        <v>46.31772253081499</v>
      </c>
      <c r="O12" s="23">
        <f t="shared" si="2"/>
        <v>3471</v>
      </c>
      <c r="P12" s="23">
        <f t="shared" ref="P12:P75" si="6">+M12</f>
        <v>3471</v>
      </c>
      <c r="Q12" s="7">
        <f t="shared" si="3"/>
        <v>-46.31772253081499</v>
      </c>
      <c r="R12" s="7">
        <f t="shared" si="4"/>
        <v>679338.23861482914</v>
      </c>
    </row>
    <row r="13" spans="2:18">
      <c r="B13" s="6" t="s">
        <v>63</v>
      </c>
      <c r="C13" s="1"/>
      <c r="D13" s="7">
        <f>+D10+D11</f>
        <v>300</v>
      </c>
      <c r="G13" s="7" t="s">
        <v>82</v>
      </c>
      <c r="H13" s="7">
        <f>-'tabla financiera '!N13</f>
        <v>-3471</v>
      </c>
      <c r="I13" s="40">
        <v>8</v>
      </c>
      <c r="J13" s="40">
        <v>4</v>
      </c>
      <c r="K13" s="23">
        <f t="shared" si="5"/>
        <v>679338.23861482914</v>
      </c>
      <c r="L13" s="7">
        <f t="shared" si="0"/>
        <v>3517.5575518903502</v>
      </c>
      <c r="M13" s="7">
        <f>+'tabla financiera '!M9</f>
        <v>3471</v>
      </c>
      <c r="N13" s="7">
        <f t="shared" si="1"/>
        <v>46.557551890350169</v>
      </c>
      <c r="O13" s="23">
        <f t="shared" si="2"/>
        <v>3471</v>
      </c>
      <c r="P13" s="23">
        <f t="shared" si="6"/>
        <v>3471</v>
      </c>
      <c r="Q13" s="7">
        <f t="shared" si="3"/>
        <v>-46.557551890350169</v>
      </c>
      <c r="R13" s="7">
        <f t="shared" si="4"/>
        <v>679384.79616671952</v>
      </c>
    </row>
    <row r="14" spans="2:18">
      <c r="B14" s="1"/>
      <c r="C14" s="1"/>
      <c r="D14" s="1"/>
      <c r="G14" s="7" t="s">
        <v>82</v>
      </c>
      <c r="H14" s="7">
        <f>-'tabla financiera '!N14</f>
        <v>-3471</v>
      </c>
      <c r="I14" s="40">
        <v>9</v>
      </c>
      <c r="J14" s="40">
        <v>5</v>
      </c>
      <c r="K14" s="23">
        <f t="shared" si="5"/>
        <v>679384.79616671952</v>
      </c>
      <c r="L14" s="7">
        <f t="shared" si="0"/>
        <v>3517.7986230665929</v>
      </c>
      <c r="M14" s="7">
        <f>+'tabla financiera '!M10</f>
        <v>3471</v>
      </c>
      <c r="N14" s="7">
        <f t="shared" si="1"/>
        <v>46.798623066592882</v>
      </c>
      <c r="O14" s="23">
        <f t="shared" si="2"/>
        <v>3471</v>
      </c>
      <c r="P14" s="23">
        <f t="shared" si="6"/>
        <v>3471</v>
      </c>
      <c r="Q14" s="7">
        <f t="shared" si="3"/>
        <v>-46.798623066592882</v>
      </c>
      <c r="R14" s="7">
        <f t="shared" si="4"/>
        <v>679431.59478978615</v>
      </c>
    </row>
    <row r="15" spans="2:18" ht="13.5">
      <c r="B15" s="1" t="s">
        <v>64</v>
      </c>
      <c r="C15" s="10">
        <f>+'tabla financiera '!C16</f>
        <v>0.06</v>
      </c>
      <c r="D15" s="1"/>
      <c r="G15" s="7" t="s">
        <v>82</v>
      </c>
      <c r="H15" s="7">
        <f>-'tabla financiera '!N15</f>
        <v>-3471</v>
      </c>
      <c r="I15" s="40">
        <v>10</v>
      </c>
      <c r="J15" s="40">
        <v>6</v>
      </c>
      <c r="K15" s="23">
        <f t="shared" si="5"/>
        <v>679431.59478978615</v>
      </c>
      <c r="L15" s="7">
        <f t="shared" si="0"/>
        <v>3518.0409424895679</v>
      </c>
      <c r="M15" s="7">
        <f>+'tabla financiera '!M11</f>
        <v>3471</v>
      </c>
      <c r="N15" s="7">
        <f t="shared" si="1"/>
        <v>47.040942489567897</v>
      </c>
      <c r="O15" s="23">
        <f t="shared" si="2"/>
        <v>3471</v>
      </c>
      <c r="P15" s="23">
        <f t="shared" si="6"/>
        <v>3471</v>
      </c>
      <c r="Q15" s="7">
        <f t="shared" si="3"/>
        <v>-47.040942489567897</v>
      </c>
      <c r="R15" s="7">
        <f t="shared" si="4"/>
        <v>679478.63573227567</v>
      </c>
    </row>
    <row r="16" spans="2:18" ht="13.5">
      <c r="B16" s="8" t="s">
        <v>65</v>
      </c>
      <c r="C16" s="42">
        <f>+'tabla financiera '!C17</f>
        <v>5.0000000000000001E-3</v>
      </c>
      <c r="D16" s="1"/>
      <c r="G16" s="7" t="s">
        <v>82</v>
      </c>
      <c r="H16" s="7">
        <f>-'tabla financiera '!N16</f>
        <v>-3471</v>
      </c>
      <c r="I16" s="40">
        <v>11</v>
      </c>
      <c r="J16" s="40">
        <v>7</v>
      </c>
      <c r="K16" s="23">
        <f t="shared" si="5"/>
        <v>679478.63573227567</v>
      </c>
      <c r="L16" s="7">
        <f t="shared" si="0"/>
        <v>3518.2845166225939</v>
      </c>
      <c r="M16" s="7">
        <f>+'tabla financiera '!M12</f>
        <v>3471</v>
      </c>
      <c r="N16" s="7">
        <f t="shared" si="1"/>
        <v>47.284516622593856</v>
      </c>
      <c r="O16" s="23">
        <f t="shared" si="2"/>
        <v>3471</v>
      </c>
      <c r="P16" s="23">
        <f t="shared" si="6"/>
        <v>3471</v>
      </c>
      <c r="Q16" s="7">
        <f t="shared" si="3"/>
        <v>-47.284516622593856</v>
      </c>
      <c r="R16" s="7">
        <f t="shared" si="4"/>
        <v>679525.92024889821</v>
      </c>
    </row>
    <row r="17" spans="2:18">
      <c r="B17" s="1"/>
      <c r="C17" s="1"/>
      <c r="D17" s="1"/>
      <c r="G17" s="7" t="s">
        <v>82</v>
      </c>
      <c r="H17" s="7">
        <f>-'tabla financiera '!N17</f>
        <v>-3471</v>
      </c>
      <c r="I17" s="40">
        <v>12</v>
      </c>
      <c r="J17" s="40">
        <v>8</v>
      </c>
      <c r="K17" s="23">
        <f t="shared" si="5"/>
        <v>679525.92024889821</v>
      </c>
      <c r="L17" s="7">
        <f t="shared" si="0"/>
        <v>3518.529351962457</v>
      </c>
      <c r="M17" s="7">
        <f>+'tabla financiera '!M13</f>
        <v>3471</v>
      </c>
      <c r="N17" s="7">
        <f t="shared" si="1"/>
        <v>47.529351962456985</v>
      </c>
      <c r="O17" s="23">
        <f t="shared" si="2"/>
        <v>3471</v>
      </c>
      <c r="P17" s="23">
        <f t="shared" si="6"/>
        <v>3471</v>
      </c>
      <c r="Q17" s="7">
        <f t="shared" si="3"/>
        <v>-47.529351962456985</v>
      </c>
      <c r="R17" s="7">
        <f t="shared" si="4"/>
        <v>679573.44960086071</v>
      </c>
    </row>
    <row r="18" spans="2:18">
      <c r="B18" s="1"/>
      <c r="C18" s="1"/>
      <c r="D18" s="7" t="s">
        <v>10</v>
      </c>
      <c r="G18" s="7" t="s">
        <v>82</v>
      </c>
      <c r="H18" s="7">
        <f>-'tabla financiera '!N18</f>
        <v>-3471</v>
      </c>
      <c r="I18" s="40">
        <v>13</v>
      </c>
      <c r="J18" s="40">
        <v>9</v>
      </c>
      <c r="K18" s="23">
        <f t="shared" si="5"/>
        <v>679573.44960086071</v>
      </c>
      <c r="L18" s="7">
        <f t="shared" si="0"/>
        <v>3518.7754550395825</v>
      </c>
      <c r="M18" s="7">
        <f>+'tabla financiera '!M14</f>
        <v>3471</v>
      </c>
      <c r="N18" s="7">
        <f t="shared" si="1"/>
        <v>47.775455039582539</v>
      </c>
      <c r="O18" s="23">
        <f t="shared" si="2"/>
        <v>3471</v>
      </c>
      <c r="P18" s="23">
        <f t="shared" si="6"/>
        <v>3471</v>
      </c>
      <c r="Q18" s="7">
        <f t="shared" si="3"/>
        <v>-47.775455039582539</v>
      </c>
      <c r="R18" s="7">
        <f t="shared" si="4"/>
        <v>679621.22505590029</v>
      </c>
    </row>
    <row r="19" spans="2:18">
      <c r="B19" s="1"/>
      <c r="C19" s="7" t="s">
        <v>66</v>
      </c>
      <c r="D19" s="7">
        <f>PV(C16,D11,-1,,0)</f>
        <v>139.58077168292695</v>
      </c>
      <c r="G19" s="7" t="s">
        <v>82</v>
      </c>
      <c r="H19" s="7">
        <f>-'tabla financiera '!N19</f>
        <v>-3471</v>
      </c>
      <c r="I19" s="40">
        <v>14</v>
      </c>
      <c r="J19" s="40">
        <v>10</v>
      </c>
      <c r="K19" s="23">
        <f t="shared" si="5"/>
        <v>679621.22505590029</v>
      </c>
      <c r="L19" s="7">
        <f t="shared" si="0"/>
        <v>3519.022832418209</v>
      </c>
      <c r="M19" s="7">
        <f>+'tabla financiera '!M15</f>
        <v>3471</v>
      </c>
      <c r="N19" s="7">
        <f t="shared" si="1"/>
        <v>48.022832418208964</v>
      </c>
      <c r="O19" s="23">
        <f t="shared" si="2"/>
        <v>3471</v>
      </c>
      <c r="P19" s="23">
        <f t="shared" si="6"/>
        <v>3471</v>
      </c>
      <c r="Q19" s="7">
        <f t="shared" si="3"/>
        <v>-48.022832418208964</v>
      </c>
      <c r="R19" s="7">
        <f t="shared" si="4"/>
        <v>679669.2478883185</v>
      </c>
    </row>
    <row r="20" spans="2:18">
      <c r="B20" s="1"/>
      <c r="C20" s="1"/>
      <c r="D20" s="1"/>
      <c r="G20" s="7" t="s">
        <v>82</v>
      </c>
      <c r="H20" s="7">
        <f>-'tabla financiera '!N20</f>
        <v>-3471</v>
      </c>
      <c r="I20" s="40">
        <v>15</v>
      </c>
      <c r="J20" s="40">
        <v>11</v>
      </c>
      <c r="K20" s="23">
        <f t="shared" si="5"/>
        <v>679669.2478883185</v>
      </c>
      <c r="L20" s="7">
        <f t="shared" si="0"/>
        <v>3519.2714906965657</v>
      </c>
      <c r="M20" s="7">
        <f>+'tabla financiera '!M16</f>
        <v>3471</v>
      </c>
      <c r="N20" s="7">
        <f t="shared" si="1"/>
        <v>48.271490696565706</v>
      </c>
      <c r="O20" s="23">
        <f t="shared" si="2"/>
        <v>3471</v>
      </c>
      <c r="P20" s="23">
        <f t="shared" si="6"/>
        <v>3471</v>
      </c>
      <c r="Q20" s="7">
        <f t="shared" si="3"/>
        <v>-48.271490696565706</v>
      </c>
      <c r="R20" s="7">
        <f t="shared" si="4"/>
        <v>679717.51937901508</v>
      </c>
    </row>
    <row r="21" spans="2:18">
      <c r="B21" s="1"/>
      <c r="C21" s="1"/>
      <c r="D21" s="7" t="s">
        <v>44</v>
      </c>
      <c r="G21" s="7" t="s">
        <v>82</v>
      </c>
      <c r="H21" s="7">
        <f>-'tabla financiera '!N21</f>
        <v>-3471</v>
      </c>
      <c r="I21" s="40">
        <v>16</v>
      </c>
      <c r="J21" s="40">
        <v>12</v>
      </c>
      <c r="K21" s="23">
        <f t="shared" si="5"/>
        <v>679717.51937901508</v>
      </c>
      <c r="L21" s="7">
        <f t="shared" si="0"/>
        <v>3519.521436507046</v>
      </c>
      <c r="M21" s="7">
        <f>+'tabla financiera '!M17</f>
        <v>3471</v>
      </c>
      <c r="N21" s="7">
        <f t="shared" si="1"/>
        <v>48.521436507046019</v>
      </c>
      <c r="O21" s="23">
        <f t="shared" si="2"/>
        <v>3471</v>
      </c>
      <c r="P21" s="23">
        <f t="shared" si="6"/>
        <v>3471</v>
      </c>
      <c r="Q21" s="7">
        <f t="shared" si="3"/>
        <v>-48.521436507046019</v>
      </c>
      <c r="R21" s="7">
        <f t="shared" si="4"/>
        <v>679766.04081552208</v>
      </c>
    </row>
    <row r="22" spans="2:18">
      <c r="B22" s="1"/>
      <c r="C22" s="10" t="s">
        <v>67</v>
      </c>
      <c r="D22" s="7">
        <f>+D4/D19</f>
        <v>4973.4644079554992</v>
      </c>
      <c r="G22" s="7" t="s">
        <v>82</v>
      </c>
      <c r="H22" s="7">
        <f>-'tabla financiera '!N22</f>
        <v>-3471</v>
      </c>
      <c r="I22" s="40">
        <v>17</v>
      </c>
      <c r="J22" s="40">
        <v>13</v>
      </c>
      <c r="K22" s="23">
        <f t="shared" si="5"/>
        <v>679766.04081552208</v>
      </c>
      <c r="L22" s="7">
        <f t="shared" si="0"/>
        <v>3519.7726765163848</v>
      </c>
      <c r="M22" s="7">
        <f>+'tabla financiera '!M18</f>
        <v>3471</v>
      </c>
      <c r="N22" s="7">
        <f t="shared" si="1"/>
        <v>48.772676516384763</v>
      </c>
      <c r="O22" s="23">
        <f t="shared" si="2"/>
        <v>3471</v>
      </c>
      <c r="P22" s="23">
        <f t="shared" si="6"/>
        <v>3471</v>
      </c>
      <c r="Q22" s="7">
        <f t="shared" si="3"/>
        <v>-48.772676516384763</v>
      </c>
      <c r="R22" s="7">
        <f t="shared" si="4"/>
        <v>679814.81349203852</v>
      </c>
    </row>
    <row r="23" spans="2:18">
      <c r="G23" s="7" t="s">
        <v>82</v>
      </c>
      <c r="H23" s="7">
        <f>-'tabla financiera '!N23</f>
        <v>-3471</v>
      </c>
      <c r="I23" s="40">
        <v>18</v>
      </c>
      <c r="J23" s="40">
        <v>14</v>
      </c>
      <c r="K23" s="23">
        <f t="shared" si="5"/>
        <v>679814.81349203852</v>
      </c>
      <c r="L23" s="7">
        <f t="shared" si="0"/>
        <v>3520.025217425838</v>
      </c>
      <c r="M23" s="7">
        <f>+'tabla financiera '!M19</f>
        <v>3471</v>
      </c>
      <c r="N23" s="7">
        <f t="shared" si="1"/>
        <v>49.025217425838036</v>
      </c>
      <c r="O23" s="23">
        <f t="shared" si="2"/>
        <v>3471</v>
      </c>
      <c r="P23" s="23">
        <f t="shared" si="6"/>
        <v>3471</v>
      </c>
      <c r="Q23" s="7">
        <f t="shared" si="3"/>
        <v>-49.025217425838036</v>
      </c>
      <c r="R23" s="7">
        <f t="shared" si="4"/>
        <v>679863.83870946441</v>
      </c>
    </row>
    <row r="24" spans="2:18">
      <c r="G24" s="7" t="s">
        <v>82</v>
      </c>
      <c r="H24" s="7">
        <f>-'tabla financiera '!N24</f>
        <v>-3471</v>
      </c>
      <c r="I24" s="40">
        <v>19</v>
      </c>
      <c r="J24" s="40">
        <v>15</v>
      </c>
      <c r="K24" s="23">
        <f t="shared" si="5"/>
        <v>679863.83870946441</v>
      </c>
      <c r="L24" s="7">
        <f t="shared" si="0"/>
        <v>3520.2790659713596</v>
      </c>
      <c r="M24" s="7">
        <f>+'tabla financiera '!M20</f>
        <v>3471</v>
      </c>
      <c r="N24" s="7">
        <f t="shared" si="1"/>
        <v>49.279065971359614</v>
      </c>
      <c r="O24" s="23">
        <f t="shared" si="2"/>
        <v>3471</v>
      </c>
      <c r="P24" s="23">
        <f t="shared" si="6"/>
        <v>3471</v>
      </c>
      <c r="Q24" s="7">
        <f t="shared" si="3"/>
        <v>-49.279065971359614</v>
      </c>
      <c r="R24" s="7">
        <f t="shared" si="4"/>
        <v>679913.11777543579</v>
      </c>
    </row>
    <row r="25" spans="2:18">
      <c r="G25" s="7" t="s">
        <v>82</v>
      </c>
      <c r="H25" s="7">
        <f>-'tabla financiera '!N25</f>
        <v>-3471</v>
      </c>
      <c r="I25" s="40">
        <v>20</v>
      </c>
      <c r="J25" s="40">
        <v>16</v>
      </c>
      <c r="K25" s="23">
        <f t="shared" si="5"/>
        <v>679913.11777543579</v>
      </c>
      <c r="L25" s="7">
        <f t="shared" si="0"/>
        <v>3520.534228923781</v>
      </c>
      <c r="M25" s="7">
        <f>+'tabla financiera '!M21</f>
        <v>3471</v>
      </c>
      <c r="N25" s="7">
        <f t="shared" si="1"/>
        <v>49.534228923781029</v>
      </c>
      <c r="O25" s="23">
        <f t="shared" si="2"/>
        <v>3471</v>
      </c>
      <c r="P25" s="23">
        <f t="shared" si="6"/>
        <v>3471</v>
      </c>
      <c r="Q25" s="7">
        <f t="shared" si="3"/>
        <v>-49.534228923781029</v>
      </c>
      <c r="R25" s="7">
        <f t="shared" si="4"/>
        <v>679962.65200435952</v>
      </c>
    </row>
    <row r="26" spans="2:18">
      <c r="G26" s="7" t="s">
        <v>82</v>
      </c>
      <c r="H26" s="7">
        <f>-'tabla financiera '!N26</f>
        <v>-3471</v>
      </c>
      <c r="I26" s="40">
        <v>21</v>
      </c>
      <c r="J26" s="40">
        <v>17</v>
      </c>
      <c r="K26" s="23">
        <f t="shared" si="5"/>
        <v>679962.65200435952</v>
      </c>
      <c r="L26" s="7">
        <f t="shared" si="0"/>
        <v>3520.790713088993</v>
      </c>
      <c r="M26" s="7">
        <f>+'tabla financiera '!M22</f>
        <v>3471</v>
      </c>
      <c r="N26" s="7">
        <f t="shared" si="1"/>
        <v>49.790713088993016</v>
      </c>
      <c r="O26" s="23">
        <f t="shared" si="2"/>
        <v>3471</v>
      </c>
      <c r="P26" s="23">
        <f t="shared" si="6"/>
        <v>3471</v>
      </c>
      <c r="Q26" s="7">
        <f t="shared" si="3"/>
        <v>-49.790713088993016</v>
      </c>
      <c r="R26" s="7">
        <f t="shared" si="4"/>
        <v>680012.44271744846</v>
      </c>
    </row>
    <row r="27" spans="2:18">
      <c r="G27" s="7" t="s">
        <v>82</v>
      </c>
      <c r="H27" s="7">
        <f>-'tabla financiera '!N27</f>
        <v>-3471</v>
      </c>
      <c r="I27" s="40">
        <v>22</v>
      </c>
      <c r="J27" s="40">
        <v>18</v>
      </c>
      <c r="K27" s="23">
        <f t="shared" si="5"/>
        <v>680012.44271744846</v>
      </c>
      <c r="L27" s="7">
        <f t="shared" si="0"/>
        <v>3521.0485253081274</v>
      </c>
      <c r="M27" s="7">
        <f>+'tabla financiera '!M23</f>
        <v>3471</v>
      </c>
      <c r="N27" s="7">
        <f t="shared" si="1"/>
        <v>50.04852530812741</v>
      </c>
      <c r="O27" s="23">
        <f t="shared" si="2"/>
        <v>3471</v>
      </c>
      <c r="P27" s="23">
        <f t="shared" si="6"/>
        <v>3471</v>
      </c>
      <c r="Q27" s="7">
        <f t="shared" si="3"/>
        <v>-50.04852530812741</v>
      </c>
      <c r="R27" s="7">
        <f t="shared" si="4"/>
        <v>680062.4912427566</v>
      </c>
    </row>
    <row r="28" spans="2:18">
      <c r="G28" s="7" t="s">
        <v>82</v>
      </c>
      <c r="H28" s="7">
        <f>-'tabla financiera '!N28</f>
        <v>-3471</v>
      </c>
      <c r="I28" s="40">
        <v>23</v>
      </c>
      <c r="J28" s="40">
        <v>19</v>
      </c>
      <c r="K28" s="23">
        <f t="shared" si="5"/>
        <v>680062.4912427566</v>
      </c>
      <c r="L28" s="7">
        <f t="shared" si="0"/>
        <v>3521.3076724577381</v>
      </c>
      <c r="M28" s="7">
        <f>+'tabla financiera '!M24</f>
        <v>3471</v>
      </c>
      <c r="N28" s="7">
        <f t="shared" si="1"/>
        <v>50.307672457738136</v>
      </c>
      <c r="O28" s="23">
        <f t="shared" si="2"/>
        <v>3471</v>
      </c>
      <c r="P28" s="23">
        <f t="shared" si="6"/>
        <v>3471</v>
      </c>
      <c r="Q28" s="7">
        <f t="shared" si="3"/>
        <v>-50.307672457738136</v>
      </c>
      <c r="R28" s="7">
        <f t="shared" si="4"/>
        <v>680112.79891521437</v>
      </c>
    </row>
    <row r="29" spans="2:18">
      <c r="G29" s="7" t="s">
        <v>82</v>
      </c>
      <c r="H29" s="7">
        <f>-'tabla financiera '!N29</f>
        <v>-3471</v>
      </c>
      <c r="I29" s="40">
        <v>24</v>
      </c>
      <c r="J29" s="40">
        <v>20</v>
      </c>
      <c r="K29" s="23">
        <f t="shared" si="5"/>
        <v>680112.79891521437</v>
      </c>
      <c r="L29" s="7">
        <f t="shared" si="0"/>
        <v>3521.5681614499854</v>
      </c>
      <c r="M29" s="7">
        <f>+'tabla financiera '!M25</f>
        <v>3471</v>
      </c>
      <c r="N29" s="7">
        <f t="shared" si="1"/>
        <v>50.568161449985382</v>
      </c>
      <c r="O29" s="23">
        <f t="shared" si="2"/>
        <v>3471</v>
      </c>
      <c r="P29" s="23">
        <f t="shared" si="6"/>
        <v>3471</v>
      </c>
      <c r="Q29" s="7">
        <f t="shared" si="3"/>
        <v>-50.568161449985382</v>
      </c>
      <c r="R29" s="7">
        <f t="shared" si="4"/>
        <v>680163.36707666435</v>
      </c>
    </row>
    <row r="30" spans="2:18">
      <c r="G30" s="7" t="s">
        <v>82</v>
      </c>
      <c r="H30" s="7">
        <f>-'tabla financiera '!N30</f>
        <v>-3471</v>
      </c>
      <c r="I30" s="40">
        <v>25</v>
      </c>
      <c r="J30" s="40">
        <v>21</v>
      </c>
      <c r="K30" s="23">
        <f t="shared" si="5"/>
        <v>680163.36707666435</v>
      </c>
      <c r="L30" s="7">
        <f t="shared" si="0"/>
        <v>3521.8299992328198</v>
      </c>
      <c r="M30" s="7">
        <f>+'tabla financiera '!M26</f>
        <v>3471</v>
      </c>
      <c r="N30" s="7">
        <f t="shared" si="1"/>
        <v>50.829999232819773</v>
      </c>
      <c r="O30" s="23">
        <f t="shared" si="2"/>
        <v>3471</v>
      </c>
      <c r="P30" s="23">
        <f t="shared" si="6"/>
        <v>3471</v>
      </c>
      <c r="Q30" s="7">
        <f t="shared" si="3"/>
        <v>-50.829999232819773</v>
      </c>
      <c r="R30" s="7">
        <f t="shared" si="4"/>
        <v>680214.19707589713</v>
      </c>
    </row>
    <row r="31" spans="2:18">
      <c r="G31" s="7" t="s">
        <v>82</v>
      </c>
      <c r="H31" s="7">
        <f>-'tabla financiera '!N31</f>
        <v>-3471</v>
      </c>
      <c r="I31" s="40">
        <v>26</v>
      </c>
      <c r="J31" s="40">
        <v>22</v>
      </c>
      <c r="K31" s="23">
        <f t="shared" si="5"/>
        <v>680214.19707589713</v>
      </c>
      <c r="L31" s="7">
        <f t="shared" si="0"/>
        <v>3522.0931927901684</v>
      </c>
      <c r="M31" s="7">
        <f>+'tabla financiera '!M27</f>
        <v>3471</v>
      </c>
      <c r="N31" s="7">
        <f t="shared" si="1"/>
        <v>51.093192790168359</v>
      </c>
      <c r="O31" s="23">
        <f t="shared" si="2"/>
        <v>3471</v>
      </c>
      <c r="P31" s="23">
        <f t="shared" si="6"/>
        <v>3471</v>
      </c>
      <c r="Q31" s="7">
        <f t="shared" si="3"/>
        <v>-51.093192790168359</v>
      </c>
      <c r="R31" s="7">
        <f t="shared" si="4"/>
        <v>680265.2902686873</v>
      </c>
    </row>
    <row r="32" spans="2:18">
      <c r="G32" s="7" t="s">
        <v>82</v>
      </c>
      <c r="H32" s="7">
        <f>-'tabla financiera '!N32</f>
        <v>-3471</v>
      </c>
      <c r="I32" s="40">
        <v>27</v>
      </c>
      <c r="J32" s="40">
        <v>23</v>
      </c>
      <c r="K32" s="23">
        <f t="shared" si="5"/>
        <v>680265.2902686873</v>
      </c>
      <c r="L32" s="7">
        <f t="shared" si="0"/>
        <v>3522.3577491421202</v>
      </c>
      <c r="M32" s="7">
        <f>+'tabla financiera '!M28</f>
        <v>3471</v>
      </c>
      <c r="N32" s="7">
        <f t="shared" si="1"/>
        <v>51.357749142120156</v>
      </c>
      <c r="O32" s="23">
        <f t="shared" si="2"/>
        <v>3471</v>
      </c>
      <c r="P32" s="23">
        <f t="shared" si="6"/>
        <v>3471</v>
      </c>
      <c r="Q32" s="7">
        <f t="shared" si="3"/>
        <v>-51.357749142120156</v>
      </c>
      <c r="R32" s="7">
        <f t="shared" si="4"/>
        <v>680316.6480178294</v>
      </c>
    </row>
    <row r="33" spans="7:18">
      <c r="G33" s="7" t="s">
        <v>82</v>
      </c>
      <c r="H33" s="7">
        <f>-'tabla financiera '!N33</f>
        <v>-3471</v>
      </c>
      <c r="I33" s="40">
        <v>28</v>
      </c>
      <c r="J33" s="40">
        <v>24</v>
      </c>
      <c r="K33" s="23">
        <f t="shared" si="5"/>
        <v>680316.6480178294</v>
      </c>
      <c r="L33" s="7">
        <f t="shared" si="0"/>
        <v>3522.623675345113</v>
      </c>
      <c r="M33" s="7">
        <f>+'tabla financiera '!M29</f>
        <v>3471</v>
      </c>
      <c r="N33" s="7">
        <f t="shared" si="1"/>
        <v>51.623675345113043</v>
      </c>
      <c r="O33" s="23">
        <f t="shared" si="2"/>
        <v>3471</v>
      </c>
      <c r="P33" s="23">
        <f t="shared" si="6"/>
        <v>3471</v>
      </c>
      <c r="Q33" s="7">
        <f t="shared" si="3"/>
        <v>-51.623675345113043</v>
      </c>
      <c r="R33" s="7">
        <f t="shared" si="4"/>
        <v>680368.27169317449</v>
      </c>
    </row>
    <row r="34" spans="7:18">
      <c r="G34" s="7" t="s">
        <v>82</v>
      </c>
      <c r="H34" s="7">
        <f>-'tabla financiera '!N34</f>
        <v>-3471</v>
      </c>
      <c r="I34" s="40">
        <v>29</v>
      </c>
      <c r="J34" s="40">
        <v>25</v>
      </c>
      <c r="K34" s="23">
        <f t="shared" si="5"/>
        <v>680368.27169317449</v>
      </c>
      <c r="L34" s="7">
        <f t="shared" si="0"/>
        <v>3522.8909784921238</v>
      </c>
      <c r="M34" s="7">
        <f>+'tabla financiera '!M30</f>
        <v>3471</v>
      </c>
      <c r="N34" s="7">
        <f t="shared" si="1"/>
        <v>51.89097849212385</v>
      </c>
      <c r="O34" s="23">
        <f t="shared" si="2"/>
        <v>3471</v>
      </c>
      <c r="P34" s="23">
        <f t="shared" si="6"/>
        <v>3471</v>
      </c>
      <c r="Q34" s="7">
        <f t="shared" si="3"/>
        <v>-51.89097849212385</v>
      </c>
      <c r="R34" s="7">
        <f t="shared" si="4"/>
        <v>680420.16267166659</v>
      </c>
    </row>
    <row r="35" spans="7:18">
      <c r="G35" s="7" t="s">
        <v>82</v>
      </c>
      <c r="H35" s="7">
        <f>-'tabla financiera '!N35</f>
        <v>-3471</v>
      </c>
      <c r="I35" s="40">
        <v>30</v>
      </c>
      <c r="J35" s="40">
        <v>26</v>
      </c>
      <c r="K35" s="23">
        <f t="shared" si="5"/>
        <v>680420.16267166659</v>
      </c>
      <c r="L35" s="7">
        <f t="shared" si="0"/>
        <v>3523.1596657128553</v>
      </c>
      <c r="M35" s="7">
        <f>+'tabla financiera '!M31</f>
        <v>3471</v>
      </c>
      <c r="N35" s="7">
        <f t="shared" si="1"/>
        <v>52.159665712855258</v>
      </c>
      <c r="O35" s="23">
        <f t="shared" si="2"/>
        <v>3471</v>
      </c>
      <c r="P35" s="23">
        <f t="shared" si="6"/>
        <v>3471</v>
      </c>
      <c r="Q35" s="7">
        <f t="shared" si="3"/>
        <v>-52.159665712855258</v>
      </c>
      <c r="R35" s="7">
        <f t="shared" si="4"/>
        <v>680472.32233737945</v>
      </c>
    </row>
    <row r="36" spans="7:18">
      <c r="G36" s="7" t="s">
        <v>82</v>
      </c>
      <c r="H36" s="7">
        <f>-'tabla financiera '!N36</f>
        <v>-3471</v>
      </c>
      <c r="I36" s="40">
        <v>31</v>
      </c>
      <c r="J36" s="40">
        <v>27</v>
      </c>
      <c r="K36" s="23">
        <f t="shared" si="5"/>
        <v>680472.32233737945</v>
      </c>
      <c r="L36" s="7">
        <f t="shared" si="0"/>
        <v>3523.4297441739268</v>
      </c>
      <c r="M36" s="7">
        <f>+'tabla financiera '!M32</f>
        <v>3471</v>
      </c>
      <c r="N36" s="7">
        <f t="shared" si="1"/>
        <v>52.429744173926792</v>
      </c>
      <c r="O36" s="23">
        <f t="shared" si="2"/>
        <v>3471</v>
      </c>
      <c r="P36" s="23">
        <f t="shared" si="6"/>
        <v>3471</v>
      </c>
      <c r="Q36" s="7">
        <f t="shared" si="3"/>
        <v>-52.429744173926792</v>
      </c>
      <c r="R36" s="7">
        <f t="shared" si="4"/>
        <v>680524.75208155334</v>
      </c>
    </row>
    <row r="37" spans="7:18">
      <c r="G37" s="7" t="s">
        <v>82</v>
      </c>
      <c r="H37" s="7">
        <f>-'tabla financiera '!N37</f>
        <v>-3471</v>
      </c>
      <c r="I37" s="40">
        <v>32</v>
      </c>
      <c r="J37" s="40">
        <v>28</v>
      </c>
      <c r="K37" s="23">
        <f t="shared" si="5"/>
        <v>680524.75208155334</v>
      </c>
      <c r="L37" s="7">
        <f t="shared" si="0"/>
        <v>3523.7012210790672</v>
      </c>
      <c r="M37" s="7">
        <f>+'tabla financiera '!M33</f>
        <v>3471</v>
      </c>
      <c r="N37" s="7">
        <f t="shared" si="1"/>
        <v>52.701221079067182</v>
      </c>
      <c r="O37" s="23">
        <f t="shared" si="2"/>
        <v>3471</v>
      </c>
      <c r="P37" s="23">
        <f t="shared" si="6"/>
        <v>3471</v>
      </c>
      <c r="Q37" s="7">
        <f t="shared" si="3"/>
        <v>-52.701221079067182</v>
      </c>
      <c r="R37" s="7">
        <f t="shared" si="4"/>
        <v>680577.45330263244</v>
      </c>
    </row>
    <row r="38" spans="7:18">
      <c r="G38" s="7" t="s">
        <v>82</v>
      </c>
      <c r="H38" s="7">
        <f>-'tabla financiera '!N38</f>
        <v>-3471</v>
      </c>
      <c r="I38" s="40">
        <v>33</v>
      </c>
      <c r="J38" s="40">
        <v>29</v>
      </c>
      <c r="K38" s="23">
        <f t="shared" si="5"/>
        <v>680577.45330263244</v>
      </c>
      <c r="L38" s="7">
        <f t="shared" si="0"/>
        <v>3523.9741036693049</v>
      </c>
      <c r="M38" s="7">
        <f>+'tabla financiera '!M34</f>
        <v>3471</v>
      </c>
      <c r="N38" s="7">
        <f t="shared" si="1"/>
        <v>52.974103669304895</v>
      </c>
      <c r="O38" s="23">
        <f t="shared" si="2"/>
        <v>3471</v>
      </c>
      <c r="P38" s="23">
        <f t="shared" si="6"/>
        <v>3471</v>
      </c>
      <c r="Q38" s="7">
        <f t="shared" si="3"/>
        <v>-52.974103669304895</v>
      </c>
      <c r="R38" s="7">
        <f t="shared" si="4"/>
        <v>680630.42740630172</v>
      </c>
    </row>
    <row r="39" spans="7:18">
      <c r="G39" s="7" t="s">
        <v>82</v>
      </c>
      <c r="H39" s="7">
        <f>-'tabla financiera '!N39</f>
        <v>-3471</v>
      </c>
      <c r="I39" s="40">
        <v>34</v>
      </c>
      <c r="J39" s="40">
        <v>30</v>
      </c>
      <c r="K39" s="23">
        <f t="shared" si="5"/>
        <v>680630.42740630172</v>
      </c>
      <c r="L39" s="7">
        <f t="shared" si="0"/>
        <v>3524.248399223161</v>
      </c>
      <c r="M39" s="7">
        <f>+'tabla financiera '!M35</f>
        <v>3471</v>
      </c>
      <c r="N39" s="7">
        <f t="shared" si="1"/>
        <v>53.248399223160959</v>
      </c>
      <c r="O39" s="23">
        <f t="shared" si="2"/>
        <v>3471</v>
      </c>
      <c r="P39" s="23">
        <f t="shared" si="6"/>
        <v>3471</v>
      </c>
      <c r="Q39" s="7">
        <f t="shared" si="3"/>
        <v>-53.248399223160959</v>
      </c>
      <c r="R39" s="7">
        <f t="shared" si="4"/>
        <v>680683.67580552492</v>
      </c>
    </row>
    <row r="40" spans="7:18">
      <c r="G40" s="7" t="s">
        <v>82</v>
      </c>
      <c r="H40" s="7">
        <f>-'tabla financiera '!N40</f>
        <v>-3471</v>
      </c>
      <c r="I40" s="40">
        <v>35</v>
      </c>
      <c r="J40" s="40">
        <v>31</v>
      </c>
      <c r="K40" s="23">
        <f t="shared" si="5"/>
        <v>680683.67580552492</v>
      </c>
      <c r="L40" s="7">
        <f t="shared" si="0"/>
        <v>3524.5241150568459</v>
      </c>
      <c r="M40" s="7">
        <f>+'tabla financiera '!M36</f>
        <v>3471</v>
      </c>
      <c r="N40" s="7">
        <f t="shared" si="1"/>
        <v>53.524115056845858</v>
      </c>
      <c r="O40" s="23">
        <f t="shared" si="2"/>
        <v>3471</v>
      </c>
      <c r="P40" s="23">
        <f t="shared" si="6"/>
        <v>3471</v>
      </c>
      <c r="Q40" s="7">
        <f t="shared" si="3"/>
        <v>-53.524115056845858</v>
      </c>
      <c r="R40" s="7">
        <f t="shared" si="4"/>
        <v>680737.19992058177</v>
      </c>
    </row>
    <row r="41" spans="7:18">
      <c r="G41" s="7" t="s">
        <v>82</v>
      </c>
      <c r="H41" s="7">
        <f>-'tabla financiera '!N41</f>
        <v>-3471</v>
      </c>
      <c r="I41" s="40">
        <v>36</v>
      </c>
      <c r="J41" s="40">
        <v>32</v>
      </c>
      <c r="K41" s="23">
        <f t="shared" si="5"/>
        <v>680737.19992058177</v>
      </c>
      <c r="L41" s="7">
        <f t="shared" si="0"/>
        <v>3524.801258524451</v>
      </c>
      <c r="M41" s="7">
        <f>+'tabla financiera '!M37</f>
        <v>3471</v>
      </c>
      <c r="N41" s="7">
        <f t="shared" si="1"/>
        <v>53.801258524450986</v>
      </c>
      <c r="O41" s="23">
        <f t="shared" si="2"/>
        <v>3471</v>
      </c>
      <c r="P41" s="23">
        <f t="shared" si="6"/>
        <v>3471</v>
      </c>
      <c r="Q41" s="7">
        <f t="shared" si="3"/>
        <v>-53.801258524450986</v>
      </c>
      <c r="R41" s="7">
        <f t="shared" si="4"/>
        <v>680791.00117910618</v>
      </c>
    </row>
    <row r="42" spans="7:18">
      <c r="G42" s="7" t="s">
        <v>82</v>
      </c>
      <c r="H42" s="7">
        <f>-'tabla financiera '!N42</f>
        <v>-3471</v>
      </c>
      <c r="I42" s="40">
        <v>37</v>
      </c>
      <c r="J42" s="40">
        <v>33</v>
      </c>
      <c r="K42" s="23">
        <f t="shared" si="5"/>
        <v>680791.00117910618</v>
      </c>
      <c r="L42" s="7">
        <f t="shared" si="0"/>
        <v>3525.0798370181474</v>
      </c>
      <c r="M42" s="7">
        <f>+'tabla financiera '!M38</f>
        <v>3471</v>
      </c>
      <c r="N42" s="7">
        <f t="shared" si="1"/>
        <v>54.079837018147373</v>
      </c>
      <c r="O42" s="23">
        <f t="shared" si="2"/>
        <v>3471</v>
      </c>
      <c r="P42" s="23">
        <f t="shared" si="6"/>
        <v>3471</v>
      </c>
      <c r="Q42" s="7">
        <f t="shared" si="3"/>
        <v>-54.079837018147373</v>
      </c>
      <c r="R42" s="7">
        <f t="shared" si="4"/>
        <v>680845.08101612434</v>
      </c>
    </row>
    <row r="43" spans="7:18">
      <c r="G43" s="7" t="s">
        <v>82</v>
      </c>
      <c r="H43" s="7">
        <f>-'tabla financiera '!N43</f>
        <v>-3471</v>
      </c>
      <c r="I43" s="40">
        <v>38</v>
      </c>
      <c r="J43" s="40">
        <v>34</v>
      </c>
      <c r="K43" s="23">
        <f t="shared" si="5"/>
        <v>680845.08101612434</v>
      </c>
      <c r="L43" s="7">
        <f t="shared" si="0"/>
        <v>3525.3598579683826</v>
      </c>
      <c r="M43" s="7">
        <f>+'tabla financiera '!M39</f>
        <v>3471</v>
      </c>
      <c r="N43" s="7">
        <f t="shared" si="1"/>
        <v>54.359857968382585</v>
      </c>
      <c r="O43" s="23">
        <f t="shared" si="2"/>
        <v>3471</v>
      </c>
      <c r="P43" s="23">
        <f t="shared" si="6"/>
        <v>3471</v>
      </c>
      <c r="Q43" s="7">
        <f t="shared" si="3"/>
        <v>-54.359857968382585</v>
      </c>
      <c r="R43" s="7">
        <f t="shared" si="4"/>
        <v>680899.44087409275</v>
      </c>
    </row>
    <row r="44" spans="7:18">
      <c r="G44" s="7" t="s">
        <v>82</v>
      </c>
      <c r="H44" s="7">
        <f>-'tabla financiera '!N44</f>
        <v>-3471</v>
      </c>
      <c r="I44" s="40">
        <v>39</v>
      </c>
      <c r="J44" s="40">
        <v>35</v>
      </c>
      <c r="K44" s="23">
        <f t="shared" si="5"/>
        <v>680899.44087409275</v>
      </c>
      <c r="L44" s="7">
        <f t="shared" si="0"/>
        <v>3525.6413288440785</v>
      </c>
      <c r="M44" s="7">
        <f>+'tabla financiera '!M40</f>
        <v>3471</v>
      </c>
      <c r="N44" s="7">
        <f t="shared" si="1"/>
        <v>54.641328844078544</v>
      </c>
      <c r="O44" s="23">
        <f t="shared" si="2"/>
        <v>3471</v>
      </c>
      <c r="P44" s="23">
        <f t="shared" si="6"/>
        <v>3471</v>
      </c>
      <c r="Q44" s="7">
        <f t="shared" si="3"/>
        <v>-54.641328844078544</v>
      </c>
      <c r="R44" s="7">
        <f t="shared" si="4"/>
        <v>680954.08220293687</v>
      </c>
    </row>
    <row r="45" spans="7:18">
      <c r="G45" s="7" t="s">
        <v>82</v>
      </c>
      <c r="H45" s="7">
        <f>-'tabla financiera '!N45</f>
        <v>-3471</v>
      </c>
      <c r="I45" s="40">
        <v>40</v>
      </c>
      <c r="J45" s="40">
        <v>36</v>
      </c>
      <c r="K45" s="23">
        <f t="shared" si="5"/>
        <v>680954.08220293687</v>
      </c>
      <c r="L45" s="7">
        <f t="shared" si="0"/>
        <v>3525.9242571528293</v>
      </c>
      <c r="M45" s="7">
        <f>+'tabla financiera '!M41</f>
        <v>3471</v>
      </c>
      <c r="N45" s="7">
        <f t="shared" si="1"/>
        <v>54.924257152829341</v>
      </c>
      <c r="O45" s="23">
        <f t="shared" si="2"/>
        <v>3471</v>
      </c>
      <c r="P45" s="23">
        <f t="shared" si="6"/>
        <v>3471</v>
      </c>
      <c r="Q45" s="7">
        <f t="shared" si="3"/>
        <v>-54.924257152829341</v>
      </c>
      <c r="R45" s="7">
        <f t="shared" si="4"/>
        <v>681009.0064600897</v>
      </c>
    </row>
    <row r="46" spans="7:18">
      <c r="G46" s="7" t="s">
        <v>82</v>
      </c>
      <c r="H46" s="7">
        <f>-'tabla financiera '!N46</f>
        <v>-3471</v>
      </c>
      <c r="I46" s="40">
        <v>41</v>
      </c>
      <c r="J46" s="40">
        <v>37</v>
      </c>
      <c r="K46" s="23">
        <f t="shared" si="5"/>
        <v>681009.0064600897</v>
      </c>
      <c r="L46" s="7">
        <f t="shared" si="0"/>
        <v>3526.2086504411031</v>
      </c>
      <c r="M46" s="7">
        <f>+'tabla financiera '!M42</f>
        <v>3471</v>
      </c>
      <c r="N46" s="7">
        <f t="shared" si="1"/>
        <v>55.208650441103146</v>
      </c>
      <c r="O46" s="23">
        <f t="shared" si="2"/>
        <v>3471</v>
      </c>
      <c r="P46" s="23">
        <f t="shared" si="6"/>
        <v>3471</v>
      </c>
      <c r="Q46" s="7">
        <f t="shared" si="3"/>
        <v>-55.208650441103146</v>
      </c>
      <c r="R46" s="7">
        <f t="shared" si="4"/>
        <v>681064.21511053084</v>
      </c>
    </row>
    <row r="47" spans="7:18">
      <c r="G47" s="7" t="s">
        <v>82</v>
      </c>
      <c r="H47" s="7">
        <f>-'tabla financiera '!N47</f>
        <v>-3471</v>
      </c>
      <c r="I47" s="40">
        <v>42</v>
      </c>
      <c r="J47" s="40">
        <v>38</v>
      </c>
      <c r="K47" s="23">
        <f t="shared" si="5"/>
        <v>681064.21511053084</v>
      </c>
      <c r="L47" s="7">
        <f t="shared" si="0"/>
        <v>3526.4945162944441</v>
      </c>
      <c r="M47" s="7">
        <f>+'tabla financiera '!M43</f>
        <v>3471</v>
      </c>
      <c r="N47" s="7">
        <f t="shared" si="1"/>
        <v>55.494516294444111</v>
      </c>
      <c r="O47" s="23">
        <f t="shared" si="2"/>
        <v>3471</v>
      </c>
      <c r="P47" s="23">
        <f t="shared" si="6"/>
        <v>3471</v>
      </c>
      <c r="Q47" s="7">
        <f t="shared" si="3"/>
        <v>-55.494516294444111</v>
      </c>
      <c r="R47" s="7">
        <f t="shared" si="4"/>
        <v>681119.70962682529</v>
      </c>
    </row>
    <row r="48" spans="7:18">
      <c r="G48" s="7" t="s">
        <v>82</v>
      </c>
      <c r="H48" s="7">
        <f>-'tabla financiera '!N48</f>
        <v>-3471</v>
      </c>
      <c r="I48" s="40">
        <v>43</v>
      </c>
      <c r="J48" s="40">
        <v>39</v>
      </c>
      <c r="K48" s="23">
        <f t="shared" si="5"/>
        <v>681119.70962682529</v>
      </c>
      <c r="L48" s="7">
        <f t="shared" si="0"/>
        <v>3526.7818623376729</v>
      </c>
      <c r="M48" s="7">
        <f>+'tabla financiera '!M44</f>
        <v>3471</v>
      </c>
      <c r="N48" s="7">
        <f t="shared" si="1"/>
        <v>55.781862337672919</v>
      </c>
      <c r="O48" s="23">
        <f t="shared" si="2"/>
        <v>3471</v>
      </c>
      <c r="P48" s="23">
        <f t="shared" si="6"/>
        <v>3471</v>
      </c>
      <c r="Q48" s="7">
        <f t="shared" si="3"/>
        <v>-55.781862337672919</v>
      </c>
      <c r="R48" s="7">
        <f t="shared" si="4"/>
        <v>681175.49148916302</v>
      </c>
    </row>
    <row r="49" spans="7:18">
      <c r="G49" s="7" t="s">
        <v>82</v>
      </c>
      <c r="H49" s="7">
        <f>-'tabla financiera '!N49</f>
        <v>-3471</v>
      </c>
      <c r="I49" s="40">
        <v>44</v>
      </c>
      <c r="J49" s="40">
        <v>40</v>
      </c>
      <c r="K49" s="23">
        <f t="shared" si="5"/>
        <v>681175.49148916302</v>
      </c>
      <c r="L49" s="7">
        <f t="shared" si="0"/>
        <v>3527.0706962350919</v>
      </c>
      <c r="M49" s="7">
        <f>+'tabla financiera '!M45</f>
        <v>3471</v>
      </c>
      <c r="N49" s="7">
        <f t="shared" si="1"/>
        <v>56.070696235091873</v>
      </c>
      <c r="O49" s="23">
        <f t="shared" si="2"/>
        <v>3471</v>
      </c>
      <c r="P49" s="23">
        <f t="shared" si="6"/>
        <v>3471</v>
      </c>
      <c r="Q49" s="7">
        <f t="shared" si="3"/>
        <v>-56.070696235091873</v>
      </c>
      <c r="R49" s="7">
        <f t="shared" si="4"/>
        <v>681231.56218539807</v>
      </c>
    </row>
    <row r="50" spans="7:18">
      <c r="G50" s="7" t="s">
        <v>82</v>
      </c>
      <c r="H50" s="7">
        <f>-'tabla financiera '!N50</f>
        <v>-3471</v>
      </c>
      <c r="I50" s="40">
        <v>45</v>
      </c>
      <c r="J50" s="40">
        <v>41</v>
      </c>
      <c r="K50" s="23">
        <f t="shared" si="5"/>
        <v>681231.56218539807</v>
      </c>
      <c r="L50" s="7">
        <f t="shared" si="0"/>
        <v>3527.3610256906859</v>
      </c>
      <c r="M50" s="7">
        <f>+'tabla financiera '!M46</f>
        <v>3471</v>
      </c>
      <c r="N50" s="7">
        <f t="shared" si="1"/>
        <v>56.361025690685892</v>
      </c>
      <c r="O50" s="23">
        <f t="shared" si="2"/>
        <v>3471</v>
      </c>
      <c r="P50" s="23">
        <f t="shared" si="6"/>
        <v>3471</v>
      </c>
      <c r="Q50" s="7">
        <f t="shared" si="3"/>
        <v>-56.361025690685892</v>
      </c>
      <c r="R50" s="7">
        <f t="shared" si="4"/>
        <v>681287.92321108875</v>
      </c>
    </row>
    <row r="51" spans="7:18">
      <c r="G51" s="7" t="s">
        <v>82</v>
      </c>
      <c r="H51" s="7">
        <f>-'tabla financiera '!N51</f>
        <v>-3471</v>
      </c>
      <c r="I51" s="40">
        <v>46</v>
      </c>
      <c r="J51" s="40">
        <v>42</v>
      </c>
      <c r="K51" s="23">
        <f t="shared" si="5"/>
        <v>681287.92321108875</v>
      </c>
      <c r="L51" s="7">
        <f t="shared" si="0"/>
        <v>3527.6528584483335</v>
      </c>
      <c r="M51" s="7">
        <f>+'tabla financiera '!M47</f>
        <v>3471</v>
      </c>
      <c r="N51" s="7">
        <f t="shared" si="1"/>
        <v>56.652858448333518</v>
      </c>
      <c r="O51" s="23">
        <f t="shared" si="2"/>
        <v>3471</v>
      </c>
      <c r="P51" s="23">
        <f t="shared" si="6"/>
        <v>3471</v>
      </c>
      <c r="Q51" s="7">
        <f t="shared" si="3"/>
        <v>-56.652858448333518</v>
      </c>
      <c r="R51" s="7">
        <f t="shared" si="4"/>
        <v>681344.57606953708</v>
      </c>
    </row>
    <row r="52" spans="7:18">
      <c r="G52" s="7" t="s">
        <v>82</v>
      </c>
      <c r="H52" s="7">
        <f>-'tabla financiera '!N52</f>
        <v>-3471</v>
      </c>
      <c r="I52" s="40">
        <v>47</v>
      </c>
      <c r="J52" s="40">
        <v>43</v>
      </c>
      <c r="K52" s="23">
        <f t="shared" si="5"/>
        <v>681344.57606953708</v>
      </c>
      <c r="L52" s="7">
        <f t="shared" si="0"/>
        <v>3527.9462022920093</v>
      </c>
      <c r="M52" s="7">
        <f>+'tabla financiera '!M48</f>
        <v>3471</v>
      </c>
      <c r="N52" s="7">
        <f t="shared" si="1"/>
        <v>56.946202292009275</v>
      </c>
      <c r="O52" s="23">
        <f t="shared" si="2"/>
        <v>3471</v>
      </c>
      <c r="P52" s="23">
        <f t="shared" si="6"/>
        <v>3471</v>
      </c>
      <c r="Q52" s="7">
        <f t="shared" si="3"/>
        <v>-56.946202292009275</v>
      </c>
      <c r="R52" s="7">
        <f t="shared" si="4"/>
        <v>681401.52227182908</v>
      </c>
    </row>
    <row r="53" spans="7:18">
      <c r="G53" s="7" t="s">
        <v>82</v>
      </c>
      <c r="H53" s="7">
        <f>-'tabla financiera '!N53</f>
        <v>-3471</v>
      </c>
      <c r="I53" s="40">
        <v>48</v>
      </c>
      <c r="J53" s="40">
        <v>44</v>
      </c>
      <c r="K53" s="23">
        <f t="shared" si="5"/>
        <v>681401.52227182908</v>
      </c>
      <c r="L53" s="7">
        <f t="shared" si="0"/>
        <v>3528.2410650459919</v>
      </c>
      <c r="M53" s="7">
        <f>+'tabla financiera '!M49</f>
        <v>3471</v>
      </c>
      <c r="N53" s="7">
        <f t="shared" si="1"/>
        <v>57.241065045991945</v>
      </c>
      <c r="O53" s="23">
        <f t="shared" si="2"/>
        <v>3471</v>
      </c>
      <c r="P53" s="23">
        <f t="shared" si="6"/>
        <v>3471</v>
      </c>
      <c r="Q53" s="7">
        <f t="shared" si="3"/>
        <v>-57.241065045991945</v>
      </c>
      <c r="R53" s="7">
        <f t="shared" si="4"/>
        <v>681458.76333687501</v>
      </c>
    </row>
    <row r="54" spans="7:18">
      <c r="G54" s="7" t="s">
        <v>82</v>
      </c>
      <c r="H54" s="7">
        <f>-'tabla financiera '!N54</f>
        <v>-3471</v>
      </c>
      <c r="I54" s="40">
        <v>49</v>
      </c>
      <c r="J54" s="40">
        <v>45</v>
      </c>
      <c r="K54" s="23">
        <f t="shared" si="5"/>
        <v>681458.76333687501</v>
      </c>
      <c r="L54" s="7">
        <f t="shared" si="0"/>
        <v>3528.5374545750742</v>
      </c>
      <c r="M54" s="7">
        <f>+'tabla financiera '!M50</f>
        <v>3471</v>
      </c>
      <c r="N54" s="7">
        <f t="shared" si="1"/>
        <v>57.537454575074207</v>
      </c>
      <c r="O54" s="23">
        <f t="shared" si="2"/>
        <v>3471</v>
      </c>
      <c r="P54" s="23">
        <f t="shared" si="6"/>
        <v>3471</v>
      </c>
      <c r="Q54" s="7">
        <f t="shared" si="3"/>
        <v>-57.537454575074207</v>
      </c>
      <c r="R54" s="7">
        <f t="shared" si="4"/>
        <v>681516.30079145008</v>
      </c>
    </row>
    <row r="55" spans="7:18">
      <c r="G55" s="7" t="s">
        <v>82</v>
      </c>
      <c r="H55" s="7">
        <f>-'tabla financiera '!N55</f>
        <v>-3471</v>
      </c>
      <c r="I55" s="40">
        <v>50</v>
      </c>
      <c r="J55" s="40">
        <v>46</v>
      </c>
      <c r="K55" s="23">
        <f t="shared" si="5"/>
        <v>681516.30079145008</v>
      </c>
      <c r="L55" s="7">
        <f t="shared" si="0"/>
        <v>3528.8353787847723</v>
      </c>
      <c r="M55" s="7">
        <f>+'tabla financiera '!M51</f>
        <v>3471</v>
      </c>
      <c r="N55" s="7">
        <f t="shared" si="1"/>
        <v>57.835378784772274</v>
      </c>
      <c r="O55" s="23">
        <f t="shared" si="2"/>
        <v>3471</v>
      </c>
      <c r="P55" s="23">
        <f t="shared" si="6"/>
        <v>3471</v>
      </c>
      <c r="Q55" s="7">
        <f t="shared" si="3"/>
        <v>-57.835378784772274</v>
      </c>
      <c r="R55" s="7">
        <f t="shared" si="4"/>
        <v>681574.13617023488</v>
      </c>
    </row>
    <row r="56" spans="7:18">
      <c r="G56" s="7" t="s">
        <v>82</v>
      </c>
      <c r="H56" s="7">
        <f>-'tabla financiera '!N56</f>
        <v>-3471</v>
      </c>
      <c r="I56" s="40">
        <v>51</v>
      </c>
      <c r="J56" s="40">
        <v>47</v>
      </c>
      <c r="K56" s="23">
        <f t="shared" si="5"/>
        <v>681574.13617023488</v>
      </c>
      <c r="L56" s="7">
        <f t="shared" si="0"/>
        <v>3529.1348456215364</v>
      </c>
      <c r="M56" s="7">
        <f>+'tabla financiera '!M52</f>
        <v>3471</v>
      </c>
      <c r="N56" s="7">
        <f t="shared" si="1"/>
        <v>58.134845621536442</v>
      </c>
      <c r="O56" s="23">
        <f t="shared" si="2"/>
        <v>3471</v>
      </c>
      <c r="P56" s="23">
        <f t="shared" si="6"/>
        <v>3471</v>
      </c>
      <c r="Q56" s="7">
        <f t="shared" si="3"/>
        <v>-58.134845621536442</v>
      </c>
      <c r="R56" s="7">
        <f t="shared" si="4"/>
        <v>681632.27101585642</v>
      </c>
    </row>
    <row r="57" spans="7:18">
      <c r="G57" s="7" t="s">
        <v>82</v>
      </c>
      <c r="H57" s="7">
        <f>-'tabla financiera '!N57</f>
        <v>-3471</v>
      </c>
      <c r="I57" s="40">
        <v>52</v>
      </c>
      <c r="J57" s="40">
        <v>48</v>
      </c>
      <c r="K57" s="23">
        <f t="shared" si="5"/>
        <v>681632.27101585642</v>
      </c>
      <c r="L57" s="7">
        <f t="shared" si="0"/>
        <v>3529.4358630729621</v>
      </c>
      <c r="M57" s="7">
        <f>+'tabla financiera '!M53</f>
        <v>3471</v>
      </c>
      <c r="N57" s="7">
        <f t="shared" si="1"/>
        <v>58.435863072962093</v>
      </c>
      <c r="O57" s="23">
        <f t="shared" si="2"/>
        <v>3471</v>
      </c>
      <c r="P57" s="23">
        <f t="shared" si="6"/>
        <v>3471</v>
      </c>
      <c r="Q57" s="7">
        <f t="shared" si="3"/>
        <v>-58.435863072962093</v>
      </c>
      <c r="R57" s="7">
        <f t="shared" si="4"/>
        <v>681690.7068789294</v>
      </c>
    </row>
    <row r="58" spans="7:18">
      <c r="G58" s="7" t="s">
        <v>82</v>
      </c>
      <c r="H58" s="7">
        <f>-'tabla financiera '!N58</f>
        <v>-3471</v>
      </c>
      <c r="I58" s="40">
        <v>53</v>
      </c>
      <c r="J58" s="40">
        <v>49</v>
      </c>
      <c r="K58" s="23">
        <f t="shared" si="5"/>
        <v>681690.7068789294</v>
      </c>
      <c r="L58" s="7">
        <f t="shared" si="0"/>
        <v>3529.7384391680057</v>
      </c>
      <c r="M58" s="7">
        <f>+'tabla financiera '!M54</f>
        <v>3471</v>
      </c>
      <c r="N58" s="7">
        <f t="shared" si="1"/>
        <v>58.738439168005698</v>
      </c>
      <c r="O58" s="23">
        <f t="shared" si="2"/>
        <v>3471</v>
      </c>
      <c r="P58" s="23">
        <f t="shared" si="6"/>
        <v>3471</v>
      </c>
      <c r="Q58" s="7">
        <f t="shared" si="3"/>
        <v>-58.738439168005698</v>
      </c>
      <c r="R58" s="7">
        <f t="shared" si="4"/>
        <v>681749.44531809737</v>
      </c>
    </row>
    <row r="59" spans="7:18">
      <c r="G59" s="7" t="s">
        <v>82</v>
      </c>
      <c r="H59" s="7">
        <f>-'tabla financiera '!N59</f>
        <v>-3471</v>
      </c>
      <c r="I59" s="40">
        <v>54</v>
      </c>
      <c r="J59" s="40">
        <v>50</v>
      </c>
      <c r="K59" s="23">
        <f t="shared" si="5"/>
        <v>681749.44531809737</v>
      </c>
      <c r="L59" s="7">
        <f t="shared" si="0"/>
        <v>3530.042581977194</v>
      </c>
      <c r="M59" s="7">
        <f>+'tabla financiera '!M55</f>
        <v>3471</v>
      </c>
      <c r="N59" s="7">
        <f t="shared" si="1"/>
        <v>59.042581977194004</v>
      </c>
      <c r="O59" s="23">
        <f t="shared" si="2"/>
        <v>3471</v>
      </c>
      <c r="P59" s="23">
        <f t="shared" si="6"/>
        <v>3471</v>
      </c>
      <c r="Q59" s="7">
        <f t="shared" si="3"/>
        <v>-59.042581977194004</v>
      </c>
      <c r="R59" s="7">
        <f t="shared" si="4"/>
        <v>681808.48790007457</v>
      </c>
    </row>
    <row r="60" spans="7:18">
      <c r="G60" s="7" t="s">
        <v>82</v>
      </c>
      <c r="H60" s="7">
        <f>-'tabla financiera '!N60</f>
        <v>-3471</v>
      </c>
      <c r="I60" s="40">
        <v>55</v>
      </c>
      <c r="J60" s="40">
        <v>51</v>
      </c>
      <c r="K60" s="23">
        <f t="shared" si="5"/>
        <v>681808.48790007457</v>
      </c>
      <c r="L60" s="7">
        <f t="shared" si="0"/>
        <v>3530.3482996128455</v>
      </c>
      <c r="M60" s="7">
        <f>+'tabla financiera '!M56</f>
        <v>3471</v>
      </c>
      <c r="N60" s="7">
        <f t="shared" si="1"/>
        <v>59.348299612845494</v>
      </c>
      <c r="O60" s="23">
        <f t="shared" si="2"/>
        <v>3471</v>
      </c>
      <c r="P60" s="23">
        <f t="shared" si="6"/>
        <v>3471</v>
      </c>
      <c r="Q60" s="7">
        <f t="shared" si="3"/>
        <v>-59.348299612845494</v>
      </c>
      <c r="R60" s="7">
        <f t="shared" si="4"/>
        <v>681867.83619968744</v>
      </c>
    </row>
    <row r="61" spans="7:18">
      <c r="G61" s="7" t="s">
        <v>82</v>
      </c>
      <c r="H61" s="7">
        <f>-'tabla financiera '!N61</f>
        <v>-3471</v>
      </c>
      <c r="I61" s="40">
        <v>56</v>
      </c>
      <c r="J61" s="40">
        <v>52</v>
      </c>
      <c r="K61" s="23">
        <f t="shared" si="5"/>
        <v>681867.83619968744</v>
      </c>
      <c r="L61" s="7">
        <f t="shared" si="0"/>
        <v>3530.6556002292818</v>
      </c>
      <c r="M61" s="7">
        <f>+'tabla financiera '!M57</f>
        <v>3471</v>
      </c>
      <c r="N61" s="7">
        <f t="shared" si="1"/>
        <v>59.655600229281845</v>
      </c>
      <c r="O61" s="23">
        <f t="shared" si="2"/>
        <v>3471</v>
      </c>
      <c r="P61" s="23">
        <f t="shared" si="6"/>
        <v>3471</v>
      </c>
      <c r="Q61" s="7">
        <f t="shared" si="3"/>
        <v>-59.655600229281845</v>
      </c>
      <c r="R61" s="7">
        <f t="shared" si="4"/>
        <v>681927.49179991672</v>
      </c>
    </row>
    <row r="62" spans="7:18">
      <c r="G62" s="7" t="s">
        <v>82</v>
      </c>
      <c r="H62" s="7">
        <f>-'tabla financiera '!N62</f>
        <v>-3471</v>
      </c>
      <c r="I62" s="40">
        <v>57</v>
      </c>
      <c r="J62" s="40">
        <v>53</v>
      </c>
      <c r="K62" s="23">
        <f t="shared" si="5"/>
        <v>681927.49179991672</v>
      </c>
      <c r="L62" s="7">
        <f t="shared" si="0"/>
        <v>3530.9644920230471</v>
      </c>
      <c r="M62" s="7">
        <f>+'tabla financiera '!M58</f>
        <v>3471</v>
      </c>
      <c r="N62" s="7">
        <f t="shared" si="1"/>
        <v>59.964492023047114</v>
      </c>
      <c r="O62" s="23">
        <f t="shared" si="2"/>
        <v>3471</v>
      </c>
      <c r="P62" s="23">
        <f t="shared" si="6"/>
        <v>3471</v>
      </c>
      <c r="Q62" s="7">
        <f t="shared" si="3"/>
        <v>-59.964492023047114</v>
      </c>
      <c r="R62" s="7">
        <f t="shared" si="4"/>
        <v>681987.45629193971</v>
      </c>
    </row>
    <row r="63" spans="7:18">
      <c r="G63" s="7" t="s">
        <v>82</v>
      </c>
      <c r="H63" s="7">
        <f>-'tabla financiera '!N63</f>
        <v>-3471</v>
      </c>
      <c r="I63" s="40">
        <v>58</v>
      </c>
      <c r="J63" s="40">
        <v>54</v>
      </c>
      <c r="K63" s="23">
        <f t="shared" si="5"/>
        <v>681987.45629193971</v>
      </c>
      <c r="L63" s="7">
        <f t="shared" si="0"/>
        <v>3531.2749832331265</v>
      </c>
      <c r="M63" s="7">
        <f>+'tabla financiera '!M59</f>
        <v>3471</v>
      </c>
      <c r="N63" s="7">
        <f t="shared" si="1"/>
        <v>60.274983233126477</v>
      </c>
      <c r="O63" s="23">
        <f t="shared" si="2"/>
        <v>3471</v>
      </c>
      <c r="P63" s="23">
        <f t="shared" si="6"/>
        <v>3471</v>
      </c>
      <c r="Q63" s="7">
        <f t="shared" si="3"/>
        <v>-60.274983233126477</v>
      </c>
      <c r="R63" s="7">
        <f t="shared" si="4"/>
        <v>682047.73127517279</v>
      </c>
    </row>
    <row r="64" spans="7:18">
      <c r="G64" s="7" t="s">
        <v>82</v>
      </c>
      <c r="H64" s="7">
        <f>-'tabla financiera '!N64</f>
        <v>-3471</v>
      </c>
      <c r="I64" s="40">
        <v>59</v>
      </c>
      <c r="J64" s="40">
        <v>55</v>
      </c>
      <c r="K64" s="23">
        <f t="shared" si="5"/>
        <v>682047.73127517279</v>
      </c>
      <c r="L64" s="7">
        <f t="shared" si="0"/>
        <v>3531.5870821411668</v>
      </c>
      <c r="M64" s="7">
        <f>+'tabla financiera '!M60</f>
        <v>3471</v>
      </c>
      <c r="N64" s="7">
        <f t="shared" si="1"/>
        <v>60.587082141166775</v>
      </c>
      <c r="O64" s="23">
        <f t="shared" si="2"/>
        <v>3471</v>
      </c>
      <c r="P64" s="23">
        <f t="shared" si="6"/>
        <v>3471</v>
      </c>
      <c r="Q64" s="7">
        <f t="shared" si="3"/>
        <v>-60.587082141166775</v>
      </c>
      <c r="R64" s="7">
        <f t="shared" si="4"/>
        <v>682108.31835731398</v>
      </c>
    </row>
    <row r="65" spans="7:18">
      <c r="G65" s="7" t="s">
        <v>82</v>
      </c>
      <c r="H65" s="7">
        <f>-'tabla financiera '!N65</f>
        <v>-3471</v>
      </c>
      <c r="I65" s="40">
        <v>60</v>
      </c>
      <c r="J65" s="40">
        <v>56</v>
      </c>
      <c r="K65" s="23">
        <f t="shared" si="5"/>
        <v>682108.31835731398</v>
      </c>
      <c r="L65" s="7">
        <f t="shared" si="0"/>
        <v>3531.9007970716957</v>
      </c>
      <c r="M65" s="7">
        <f>+'tabla financiera '!M61</f>
        <v>3471</v>
      </c>
      <c r="N65" s="7">
        <f t="shared" si="1"/>
        <v>60.900797071695706</v>
      </c>
      <c r="O65" s="23">
        <f t="shared" si="2"/>
        <v>3471</v>
      </c>
      <c r="P65" s="23">
        <f t="shared" si="6"/>
        <v>3471</v>
      </c>
      <c r="Q65" s="7">
        <f t="shared" si="3"/>
        <v>-60.900797071695706</v>
      </c>
      <c r="R65" s="7">
        <f t="shared" si="4"/>
        <v>682169.21915438573</v>
      </c>
    </row>
    <row r="66" spans="7:18">
      <c r="G66" s="7" t="s">
        <v>82</v>
      </c>
      <c r="H66" s="7">
        <f>-'tabla financiera '!N66</f>
        <v>-4973.4644079554992</v>
      </c>
      <c r="I66" s="40">
        <v>61</v>
      </c>
      <c r="J66" s="40">
        <v>57</v>
      </c>
      <c r="K66" s="23">
        <f t="shared" si="5"/>
        <v>682169.21915438573</v>
      </c>
      <c r="L66" s="7">
        <f t="shared" si="0"/>
        <v>3532.2161363923451</v>
      </c>
      <c r="M66" s="7">
        <f>+'tabla financiera '!M62</f>
        <v>3471</v>
      </c>
      <c r="N66" s="7">
        <f t="shared" si="1"/>
        <v>61.216136392345106</v>
      </c>
      <c r="O66" s="23">
        <f t="shared" si="2"/>
        <v>3471</v>
      </c>
      <c r="P66" s="23">
        <f t="shared" si="6"/>
        <v>3471</v>
      </c>
      <c r="Q66" s="7">
        <f t="shared" si="3"/>
        <v>-61.216136392345106</v>
      </c>
      <c r="R66" s="7">
        <f t="shared" si="4"/>
        <v>682230.43529077806</v>
      </c>
    </row>
    <row r="67" spans="7:18">
      <c r="G67" s="7" t="s">
        <v>82</v>
      </c>
      <c r="H67" s="7">
        <f>-'tabla financiera '!N67</f>
        <v>-4973.4644079554992</v>
      </c>
      <c r="I67" s="40">
        <v>62</v>
      </c>
      <c r="J67" s="40">
        <v>58</v>
      </c>
      <c r="K67" s="23">
        <f t="shared" si="5"/>
        <v>682230.43529077806</v>
      </c>
      <c r="L67" s="7">
        <f t="shared" si="0"/>
        <v>3532.5331085140724</v>
      </c>
      <c r="M67" s="7">
        <f>+'tabla financiera '!M63</f>
        <v>3471</v>
      </c>
      <c r="N67" s="7">
        <f t="shared" si="1"/>
        <v>61.53310851407241</v>
      </c>
      <c r="O67" s="23">
        <f t="shared" si="2"/>
        <v>3471</v>
      </c>
      <c r="P67" s="23">
        <f t="shared" si="6"/>
        <v>3471</v>
      </c>
      <c r="Q67" s="7">
        <f t="shared" si="3"/>
        <v>-61.53310851407241</v>
      </c>
      <c r="R67" s="7">
        <f t="shared" si="4"/>
        <v>682291.96839929209</v>
      </c>
    </row>
    <row r="68" spans="7:18">
      <c r="G68" s="7" t="s">
        <v>82</v>
      </c>
      <c r="H68" s="7">
        <f>-'tabla financiera '!N68</f>
        <v>-4973.4644079554992</v>
      </c>
      <c r="I68" s="40">
        <v>63</v>
      </c>
      <c r="J68" s="40">
        <v>59</v>
      </c>
      <c r="K68" s="23">
        <f t="shared" si="5"/>
        <v>682291.96839929209</v>
      </c>
      <c r="L68" s="7">
        <f t="shared" si="0"/>
        <v>3532.8517218913885</v>
      </c>
      <c r="M68" s="7">
        <f>+'tabla financiera '!M64</f>
        <v>3471</v>
      </c>
      <c r="N68" s="7">
        <f t="shared" si="1"/>
        <v>61.851721891388479</v>
      </c>
      <c r="O68" s="23">
        <f t="shared" si="2"/>
        <v>3471</v>
      </c>
      <c r="P68" s="23">
        <f t="shared" si="6"/>
        <v>3471</v>
      </c>
      <c r="Q68" s="7">
        <f t="shared" si="3"/>
        <v>-61.851721891388479</v>
      </c>
      <c r="R68" s="7">
        <f t="shared" si="4"/>
        <v>682353.82012118353</v>
      </c>
    </row>
    <row r="69" spans="7:18">
      <c r="G69" s="7" t="s">
        <v>82</v>
      </c>
      <c r="H69" s="7">
        <f>-'tabla financiera '!N69</f>
        <v>-4973.4644079554992</v>
      </c>
      <c r="I69" s="40">
        <v>64</v>
      </c>
      <c r="J69" s="40">
        <v>60</v>
      </c>
      <c r="K69" s="23">
        <f t="shared" si="5"/>
        <v>682353.82012118353</v>
      </c>
      <c r="L69" s="7">
        <f t="shared" si="0"/>
        <v>3533.1719850225795</v>
      </c>
      <c r="M69" s="7">
        <f>+'tabla financiera '!M65</f>
        <v>3471</v>
      </c>
      <c r="N69" s="7">
        <f t="shared" si="1"/>
        <v>62.17198502257952</v>
      </c>
      <c r="O69" s="23">
        <f t="shared" si="2"/>
        <v>3471</v>
      </c>
      <c r="P69" s="23">
        <f t="shared" si="6"/>
        <v>3471</v>
      </c>
      <c r="Q69" s="7">
        <f t="shared" si="3"/>
        <v>-62.17198502257952</v>
      </c>
      <c r="R69" s="7">
        <f t="shared" si="4"/>
        <v>682415.99210620613</v>
      </c>
    </row>
    <row r="70" spans="7:18">
      <c r="G70" s="7" t="s">
        <v>82</v>
      </c>
      <c r="H70" s="7">
        <f>-'tabla financiera '!N70</f>
        <v>-4973.4644079554992</v>
      </c>
      <c r="I70" s="40">
        <v>65</v>
      </c>
      <c r="J70" s="40">
        <v>61</v>
      </c>
      <c r="K70" s="23">
        <f t="shared" si="5"/>
        <v>682415.99210620613</v>
      </c>
      <c r="L70" s="7">
        <f t="shared" si="0"/>
        <v>3533.4939064499354</v>
      </c>
      <c r="M70" s="7">
        <f>+'tabla financiera '!M66</f>
        <v>3471</v>
      </c>
      <c r="N70" s="7">
        <f t="shared" si="1"/>
        <v>62.493906449935366</v>
      </c>
      <c r="O70" s="23">
        <f t="shared" si="2"/>
        <v>4973.4644079554992</v>
      </c>
      <c r="P70" s="23">
        <f t="shared" si="6"/>
        <v>3471</v>
      </c>
      <c r="Q70" s="7">
        <f t="shared" si="3"/>
        <v>1439.9705015055638</v>
      </c>
      <c r="R70" s="7">
        <f t="shared" si="4"/>
        <v>680976.0216047006</v>
      </c>
    </row>
    <row r="71" spans="7:18">
      <c r="G71" s="7" t="s">
        <v>82</v>
      </c>
      <c r="H71" s="7">
        <f>-'tabla financiera '!N71</f>
        <v>-4973.4644079554992</v>
      </c>
      <c r="I71" s="40">
        <v>66</v>
      </c>
      <c r="J71" s="40">
        <v>62</v>
      </c>
      <c r="K71" s="23">
        <f t="shared" si="5"/>
        <v>680976.0216047006</v>
      </c>
      <c r="L71" s="7">
        <f t="shared" si="0"/>
        <v>3526.0378575715472</v>
      </c>
      <c r="M71" s="7">
        <f>+'tabla financiera '!M67</f>
        <v>3463.4876779602223</v>
      </c>
      <c r="N71" s="7">
        <f t="shared" si="1"/>
        <v>62.550179611324893</v>
      </c>
      <c r="O71" s="23">
        <f t="shared" si="2"/>
        <v>4973.4644079554992</v>
      </c>
      <c r="P71" s="23">
        <f t="shared" si="6"/>
        <v>3463.4876779602223</v>
      </c>
      <c r="Q71" s="7">
        <f t="shared" si="3"/>
        <v>1447.426550383952</v>
      </c>
      <c r="R71" s="7">
        <f t="shared" si="4"/>
        <v>679528.59505431668</v>
      </c>
    </row>
    <row r="72" spans="7:18">
      <c r="G72" s="7" t="s">
        <v>82</v>
      </c>
      <c r="H72" s="7">
        <f>-'tabla financiera '!N72</f>
        <v>-4973.4644079554992</v>
      </c>
      <c r="I72" s="40">
        <v>67</v>
      </c>
      <c r="J72" s="40">
        <v>63</v>
      </c>
      <c r="K72" s="23">
        <f t="shared" si="5"/>
        <v>679528.59505431668</v>
      </c>
      <c r="L72" s="7">
        <f t="shared" si="0"/>
        <v>3518.5432018850211</v>
      </c>
      <c r="M72" s="7">
        <f>+'tabla financiera '!M68</f>
        <v>3455.9377943102463</v>
      </c>
      <c r="N72" s="7">
        <f t="shared" si="1"/>
        <v>62.605407574774745</v>
      </c>
      <c r="O72" s="23">
        <f t="shared" si="2"/>
        <v>4973.4644079554992</v>
      </c>
      <c r="P72" s="23">
        <f t="shared" si="6"/>
        <v>3455.9377943102463</v>
      </c>
      <c r="Q72" s="7">
        <f t="shared" si="3"/>
        <v>1454.9212060704781</v>
      </c>
      <c r="R72" s="7">
        <f t="shared" si="4"/>
        <v>678073.67384824622</v>
      </c>
    </row>
    <row r="73" spans="7:18">
      <c r="G73" s="7" t="s">
        <v>82</v>
      </c>
      <c r="H73" s="7">
        <f>-'tabla financiera '!N73</f>
        <v>-4973.4644079554992</v>
      </c>
      <c r="I73" s="40">
        <v>68</v>
      </c>
      <c r="J73" s="40">
        <v>64</v>
      </c>
      <c r="K73" s="23">
        <f t="shared" si="5"/>
        <v>678073.67384824622</v>
      </c>
      <c r="L73" s="7">
        <f t="shared" si="0"/>
        <v>3511.009739487477</v>
      </c>
      <c r="M73" s="7">
        <f>+'tabla financiera '!M69</f>
        <v>3448.35016124202</v>
      </c>
      <c r="N73" s="7">
        <f t="shared" si="1"/>
        <v>62.659578245456942</v>
      </c>
      <c r="O73" s="23">
        <f t="shared" si="2"/>
        <v>4973.4644079554992</v>
      </c>
      <c r="P73" s="23">
        <f t="shared" si="6"/>
        <v>3448.35016124202</v>
      </c>
      <c r="Q73" s="7">
        <f t="shared" si="3"/>
        <v>1462.4546684680222</v>
      </c>
      <c r="R73" s="7">
        <f t="shared" si="4"/>
        <v>676611.21917977824</v>
      </c>
    </row>
    <row r="74" spans="7:18">
      <c r="G74" s="7" t="s">
        <v>82</v>
      </c>
      <c r="H74" s="7">
        <f>-'tabla financiera '!N74</f>
        <v>-4973.4644079554992</v>
      </c>
      <c r="I74" s="40">
        <v>69</v>
      </c>
      <c r="J74" s="40">
        <v>65</v>
      </c>
      <c r="K74" s="23">
        <f t="shared" si="5"/>
        <v>676611.21917977824</v>
      </c>
      <c r="L74" s="7">
        <f t="shared" si="0"/>
        <v>3503.4372694409562</v>
      </c>
      <c r="M74" s="7">
        <f>+'tabla financiera '!M70</f>
        <v>3440.7245900084527</v>
      </c>
      <c r="N74" s="7">
        <f t="shared" si="1"/>
        <v>62.712679432503592</v>
      </c>
      <c r="O74" s="23">
        <f t="shared" si="2"/>
        <v>4973.4644079554992</v>
      </c>
      <c r="P74" s="23">
        <f t="shared" si="6"/>
        <v>3440.7245900084527</v>
      </c>
      <c r="Q74" s="7">
        <f t="shared" si="3"/>
        <v>1470.0271385145429</v>
      </c>
      <c r="R74" s="7">
        <f t="shared" si="4"/>
        <v>675141.19204126368</v>
      </c>
    </row>
    <row r="75" spans="7:18">
      <c r="G75" s="7" t="s">
        <v>82</v>
      </c>
      <c r="H75" s="7">
        <f>-'tabla financiera '!N75</f>
        <v>-4973.4644079554992</v>
      </c>
      <c r="I75" s="40">
        <v>70</v>
      </c>
      <c r="J75" s="40">
        <v>66</v>
      </c>
      <c r="K75" s="23">
        <f t="shared" si="5"/>
        <v>675141.19204126368</v>
      </c>
      <c r="L75" s="7">
        <f t="shared" ref="L75:L138" si="7">+K75*H$306</f>
        <v>3495.8255897670592</v>
      </c>
      <c r="M75" s="7">
        <f>+'tabla financiera '!M71</f>
        <v>3433.0608909187176</v>
      </c>
      <c r="N75" s="7">
        <f t="shared" ref="N75:N138" si="8">+L75-M75</f>
        <v>62.764698848341595</v>
      </c>
      <c r="O75" s="23">
        <f t="shared" ref="O75:O138" si="9">-H71</f>
        <v>4973.4644079554992</v>
      </c>
      <c r="P75" s="23">
        <f t="shared" si="6"/>
        <v>3433.0608909187176</v>
      </c>
      <c r="Q75" s="7">
        <f t="shared" ref="Q75:Q138" si="10">+O75-L75</f>
        <v>1477.6388181884399</v>
      </c>
      <c r="R75" s="7">
        <f t="shared" ref="R75:R138" si="11">+K75-Q75</f>
        <v>673663.55322307523</v>
      </c>
    </row>
    <row r="76" spans="7:18">
      <c r="G76" s="7" t="s">
        <v>82</v>
      </c>
      <c r="H76" s="7">
        <f>-'tabla financiera '!N76</f>
        <v>-4973.4644079554992</v>
      </c>
      <c r="I76" s="40">
        <v>71</v>
      </c>
      <c r="J76" s="40">
        <v>67</v>
      </c>
      <c r="K76" s="23">
        <f t="shared" ref="K76:K139" si="12">+R75</f>
        <v>673663.55322307523</v>
      </c>
      <c r="L76" s="7">
        <f t="shared" si="7"/>
        <v>3488.1744974415583</v>
      </c>
      <c r="M76" s="7">
        <f>+'tabla financiera '!M72</f>
        <v>3425.3588733335337</v>
      </c>
      <c r="N76" s="7">
        <f t="shared" si="8"/>
        <v>62.815624108024622</v>
      </c>
      <c r="O76" s="23">
        <f t="shared" si="9"/>
        <v>4973.4644079554992</v>
      </c>
      <c r="P76" s="23">
        <f t="shared" ref="P76:P139" si="13">+M76</f>
        <v>3425.3588733335337</v>
      </c>
      <c r="Q76" s="7">
        <f t="shared" si="10"/>
        <v>1485.2899105139409</v>
      </c>
      <c r="R76" s="7">
        <f t="shared" si="11"/>
        <v>672178.26331256132</v>
      </c>
    </row>
    <row r="77" spans="7:18">
      <c r="G77" s="7" t="s">
        <v>82</v>
      </c>
      <c r="H77" s="7">
        <f>-'tabla financiera '!N77</f>
        <v>-4973.4644079554992</v>
      </c>
      <c r="I77" s="40">
        <v>72</v>
      </c>
      <c r="J77" s="40">
        <v>68</v>
      </c>
      <c r="K77" s="23">
        <f t="shared" si="12"/>
        <v>672178.26331256132</v>
      </c>
      <c r="L77" s="7">
        <f t="shared" si="7"/>
        <v>3480.4837883889841</v>
      </c>
      <c r="M77" s="7">
        <f>+'tabla financiera '!M73</f>
        <v>3417.6183456604235</v>
      </c>
      <c r="N77" s="7">
        <f t="shared" si="8"/>
        <v>62.865442728560538</v>
      </c>
      <c r="O77" s="23">
        <f t="shared" si="9"/>
        <v>4973.4644079554992</v>
      </c>
      <c r="P77" s="23">
        <f t="shared" si="13"/>
        <v>3417.6183456604235</v>
      </c>
      <c r="Q77" s="7">
        <f t="shared" si="10"/>
        <v>1492.9806195665151</v>
      </c>
      <c r="R77" s="7">
        <f t="shared" si="11"/>
        <v>670685.28269299481</v>
      </c>
    </row>
    <row r="78" spans="7:18">
      <c r="G78" s="7" t="s">
        <v>82</v>
      </c>
      <c r="H78" s="7">
        <f>-'tabla financiera '!N78</f>
        <v>-4973.4644079554992</v>
      </c>
      <c r="I78" s="40">
        <v>73</v>
      </c>
      <c r="J78" s="40">
        <v>69</v>
      </c>
      <c r="K78" s="23">
        <f t="shared" si="12"/>
        <v>670685.28269299481</v>
      </c>
      <c r="L78" s="7">
        <f t="shared" si="7"/>
        <v>3472.7532574771808</v>
      </c>
      <c r="M78" s="7">
        <f>+'tabla financiera '!M74</f>
        <v>3409.8391153489483</v>
      </c>
      <c r="N78" s="7">
        <f t="shared" si="8"/>
        <v>62.91414212823247</v>
      </c>
      <c r="O78" s="23">
        <f t="shared" si="9"/>
        <v>4973.4644079554992</v>
      </c>
      <c r="P78" s="23">
        <f t="shared" si="13"/>
        <v>3409.8391153489483</v>
      </c>
      <c r="Q78" s="7">
        <f t="shared" si="10"/>
        <v>1500.7111504783184</v>
      </c>
      <c r="R78" s="7">
        <f t="shared" si="11"/>
        <v>669184.57154251647</v>
      </c>
    </row>
    <row r="79" spans="7:18">
      <c r="G79" s="7" t="s">
        <v>82</v>
      </c>
      <c r="H79" s="7">
        <f>-'tabla financiera '!N79</f>
        <v>-4973.4644079554992</v>
      </c>
      <c r="I79" s="40">
        <v>74</v>
      </c>
      <c r="J79" s="40">
        <v>70</v>
      </c>
      <c r="K79" s="23">
        <f t="shared" si="12"/>
        <v>669184.57154251647</v>
      </c>
      <c r="L79" s="7">
        <f t="shared" si="7"/>
        <v>3464.9826985118343</v>
      </c>
      <c r="M79" s="7">
        <f>+'tabla financiera '!M75</f>
        <v>3402.0209888859158</v>
      </c>
      <c r="N79" s="7">
        <f t="shared" si="8"/>
        <v>62.961709625918502</v>
      </c>
      <c r="O79" s="23">
        <f t="shared" si="9"/>
        <v>4973.4644079554992</v>
      </c>
      <c r="P79" s="23">
        <f t="shared" si="13"/>
        <v>3402.0209888859158</v>
      </c>
      <c r="Q79" s="7">
        <f t="shared" si="10"/>
        <v>1508.4817094436648</v>
      </c>
      <c r="R79" s="7">
        <f t="shared" si="11"/>
        <v>667676.08983307285</v>
      </c>
    </row>
    <row r="80" spans="7:18">
      <c r="G80" s="7" t="s">
        <v>82</v>
      </c>
      <c r="H80" s="7">
        <f>-'tabla financiera '!N80</f>
        <v>-4973.4644079554992</v>
      </c>
      <c r="I80" s="40">
        <v>75</v>
      </c>
      <c r="J80" s="40">
        <v>71</v>
      </c>
      <c r="K80" s="23">
        <f t="shared" si="12"/>
        <v>667676.08983307285</v>
      </c>
      <c r="L80" s="7">
        <f t="shared" si="7"/>
        <v>3457.1719042309746</v>
      </c>
      <c r="M80" s="7">
        <f>+'tabla financiera '!M76</f>
        <v>3394.1637717905678</v>
      </c>
      <c r="N80" s="7">
        <f t="shared" si="8"/>
        <v>63.008132440406825</v>
      </c>
      <c r="O80" s="23">
        <f t="shared" si="9"/>
        <v>4973.4644079554992</v>
      </c>
      <c r="P80" s="23">
        <f t="shared" si="13"/>
        <v>3394.1637717905678</v>
      </c>
      <c r="Q80" s="7">
        <f t="shared" si="10"/>
        <v>1516.2925037245245</v>
      </c>
      <c r="R80" s="7">
        <f t="shared" si="11"/>
        <v>666159.79732934828</v>
      </c>
    </row>
    <row r="81" spans="7:18">
      <c r="G81" s="7" t="s">
        <v>82</v>
      </c>
      <c r="H81" s="7">
        <f>-'tabla financiera '!N81</f>
        <v>-4973.4644079554992</v>
      </c>
      <c r="I81" s="40">
        <v>76</v>
      </c>
      <c r="J81" s="40">
        <v>72</v>
      </c>
      <c r="K81" s="23">
        <f t="shared" si="12"/>
        <v>666159.79732934828</v>
      </c>
      <c r="L81" s="7">
        <f t="shared" si="7"/>
        <v>3449.3206662994453</v>
      </c>
      <c r="M81" s="7">
        <f>+'tabla financiera '!M77</f>
        <v>3386.267268609743</v>
      </c>
      <c r="N81" s="7">
        <f t="shared" si="8"/>
        <v>63.053397689702251</v>
      </c>
      <c r="O81" s="23">
        <f t="shared" si="9"/>
        <v>4973.4644079554992</v>
      </c>
      <c r="P81" s="23">
        <f t="shared" si="13"/>
        <v>3386.267268609743</v>
      </c>
      <c r="Q81" s="7">
        <f t="shared" si="10"/>
        <v>1524.1437416560539</v>
      </c>
      <c r="R81" s="7">
        <f t="shared" si="11"/>
        <v>664635.65358769218</v>
      </c>
    </row>
    <row r="82" spans="7:18">
      <c r="G82" s="7" t="s">
        <v>82</v>
      </c>
      <c r="H82" s="7">
        <f>-'tabla financiera '!N82</f>
        <v>-4973.4644079554992</v>
      </c>
      <c r="I82" s="40">
        <v>77</v>
      </c>
      <c r="J82" s="40">
        <v>73</v>
      </c>
      <c r="K82" s="23">
        <f t="shared" si="12"/>
        <v>664635.65358769218</v>
      </c>
      <c r="L82" s="7">
        <f t="shared" si="7"/>
        <v>3441.4287753033482</v>
      </c>
      <c r="M82" s="7">
        <f>+'tabla financiera '!M78</f>
        <v>3378.3312829130136</v>
      </c>
      <c r="N82" s="7">
        <f t="shared" si="8"/>
        <v>63.097492390334537</v>
      </c>
      <c r="O82" s="23">
        <f t="shared" si="9"/>
        <v>4973.4644079554992</v>
      </c>
      <c r="P82" s="23">
        <f t="shared" si="13"/>
        <v>3378.3312829130136</v>
      </c>
      <c r="Q82" s="7">
        <f t="shared" si="10"/>
        <v>1532.035632652151</v>
      </c>
      <c r="R82" s="7">
        <f t="shared" si="11"/>
        <v>663103.61795504007</v>
      </c>
    </row>
    <row r="83" spans="7:18">
      <c r="G83" s="7" t="s">
        <v>82</v>
      </c>
      <c r="H83" s="7">
        <f>-'tabla financiera '!N83</f>
        <v>-4973.4644079554992</v>
      </c>
      <c r="I83" s="40">
        <v>78</v>
      </c>
      <c r="J83" s="40">
        <v>74</v>
      </c>
      <c r="K83" s="23">
        <f t="shared" si="12"/>
        <v>663103.61795504007</v>
      </c>
      <c r="L83" s="7">
        <f t="shared" si="7"/>
        <v>3433.4960207444578</v>
      </c>
      <c r="M83" s="7">
        <f>+'tabla financiera '!M79</f>
        <v>3370.3556172878011</v>
      </c>
      <c r="N83" s="7">
        <f t="shared" si="8"/>
        <v>63.140403456656713</v>
      </c>
      <c r="O83" s="23">
        <f t="shared" si="9"/>
        <v>4973.4644079554992</v>
      </c>
      <c r="P83" s="23">
        <f t="shared" si="13"/>
        <v>3370.3556172878011</v>
      </c>
      <c r="Q83" s="7">
        <f t="shared" si="10"/>
        <v>1539.9683872110413</v>
      </c>
      <c r="R83" s="7">
        <f t="shared" si="11"/>
        <v>661563.64956782898</v>
      </c>
    </row>
    <row r="84" spans="7:18">
      <c r="G84" s="7" t="s">
        <v>82</v>
      </c>
      <c r="H84" s="7">
        <f>-'tabla financiera '!N84</f>
        <v>-4973.4644079554992</v>
      </c>
      <c r="I84" s="40">
        <v>79</v>
      </c>
      <c r="J84" s="40">
        <v>75</v>
      </c>
      <c r="K84" s="23">
        <f t="shared" si="12"/>
        <v>661563.64956782898</v>
      </c>
      <c r="L84" s="7">
        <f t="shared" si="7"/>
        <v>3425.5221910346036</v>
      </c>
      <c r="M84" s="7">
        <f>+'tabla financiera '!M80</f>
        <v>3362.3400733344624</v>
      </c>
      <c r="N84" s="7">
        <f t="shared" si="8"/>
        <v>63.182117700141134</v>
      </c>
      <c r="O84" s="23">
        <f t="shared" si="9"/>
        <v>4973.4644079554992</v>
      </c>
      <c r="P84" s="23">
        <f t="shared" si="13"/>
        <v>3362.3400733344624</v>
      </c>
      <c r="Q84" s="7">
        <f t="shared" si="10"/>
        <v>1547.9422169208956</v>
      </c>
      <c r="R84" s="7">
        <f t="shared" si="11"/>
        <v>660015.70735090808</v>
      </c>
    </row>
    <row r="85" spans="7:18">
      <c r="G85" s="7" t="s">
        <v>82</v>
      </c>
      <c r="H85" s="7">
        <f>-'tabla financiera '!N85</f>
        <v>-4973.4644079554992</v>
      </c>
      <c r="I85" s="40">
        <v>80</v>
      </c>
      <c r="J85" s="40">
        <v>76</v>
      </c>
      <c r="K85" s="23">
        <f t="shared" si="12"/>
        <v>660015.70735090808</v>
      </c>
      <c r="L85" s="7">
        <f t="shared" si="7"/>
        <v>3417.5070734900323</v>
      </c>
      <c r="M85" s="7">
        <f>+'tabla financiera '!M81</f>
        <v>3354.2844516613573</v>
      </c>
      <c r="N85" s="7">
        <f t="shared" si="8"/>
        <v>63.222621828675074</v>
      </c>
      <c r="O85" s="23">
        <f t="shared" si="9"/>
        <v>4973.4644079554992</v>
      </c>
      <c r="P85" s="23">
        <f t="shared" si="13"/>
        <v>3354.2844516613573</v>
      </c>
      <c r="Q85" s="7">
        <f t="shared" si="10"/>
        <v>1555.9573344654668</v>
      </c>
      <c r="R85" s="7">
        <f t="shared" si="11"/>
        <v>658459.75001644262</v>
      </c>
    </row>
    <row r="86" spans="7:18">
      <c r="G86" s="7" t="s">
        <v>82</v>
      </c>
      <c r="H86" s="7">
        <f>-'tabla financiera '!N86</f>
        <v>-4973.4644079554992</v>
      </c>
      <c r="I86" s="40">
        <v>81</v>
      </c>
      <c r="J86" s="40">
        <v>77</v>
      </c>
      <c r="K86" s="23">
        <f t="shared" si="12"/>
        <v>658459.75001644262</v>
      </c>
      <c r="L86" s="7">
        <f t="shared" si="7"/>
        <v>3409.450454325729</v>
      </c>
      <c r="M86" s="7">
        <f>+'tabla financiera '!M82</f>
        <v>3346.1885518798867</v>
      </c>
      <c r="N86" s="7">
        <f t="shared" si="8"/>
        <v>63.261902445842225</v>
      </c>
      <c r="O86" s="23">
        <f t="shared" si="9"/>
        <v>4973.4644079554992</v>
      </c>
      <c r="P86" s="23">
        <f t="shared" si="13"/>
        <v>3346.1885518798867</v>
      </c>
      <c r="Q86" s="7">
        <f t="shared" si="10"/>
        <v>1564.0139536297702</v>
      </c>
      <c r="R86" s="7">
        <f t="shared" si="11"/>
        <v>656895.73606281285</v>
      </c>
    </row>
    <row r="87" spans="7:18">
      <c r="G87" s="7" t="s">
        <v>82</v>
      </c>
      <c r="H87" s="7">
        <f>-'tabla financiera '!N87</f>
        <v>-4973.4644079554992</v>
      </c>
      <c r="I87" s="40">
        <v>82</v>
      </c>
      <c r="J87" s="40">
        <v>78</v>
      </c>
      <c r="K87" s="23">
        <f t="shared" si="12"/>
        <v>656895.73606281285</v>
      </c>
      <c r="L87" s="7">
        <f t="shared" si="7"/>
        <v>3401.3521186497192</v>
      </c>
      <c r="M87" s="7">
        <f>+'tabla financiera '!M83</f>
        <v>3338.052172599509</v>
      </c>
      <c r="N87" s="7">
        <f t="shared" si="8"/>
        <v>63.29994605021011</v>
      </c>
      <c r="O87" s="23">
        <f t="shared" si="9"/>
        <v>4973.4644079554992</v>
      </c>
      <c r="P87" s="23">
        <f t="shared" si="13"/>
        <v>3338.052172599509</v>
      </c>
      <c r="Q87" s="7">
        <f t="shared" si="10"/>
        <v>1572.11228930578</v>
      </c>
      <c r="R87" s="7">
        <f t="shared" si="11"/>
        <v>655323.62377350708</v>
      </c>
    </row>
    <row r="88" spans="7:18">
      <c r="G88" s="7" t="s">
        <v>82</v>
      </c>
      <c r="H88" s="7">
        <f>-'tabla financiera '!N88</f>
        <v>-4973.4644079554992</v>
      </c>
      <c r="I88" s="40">
        <v>83</v>
      </c>
      <c r="J88" s="40">
        <v>79</v>
      </c>
      <c r="K88" s="23">
        <f t="shared" si="12"/>
        <v>655323.62377350708</v>
      </c>
      <c r="L88" s="7">
        <f t="shared" si="7"/>
        <v>3393.2118504573341</v>
      </c>
      <c r="M88" s="7">
        <f>+'tabla financiera '!M84</f>
        <v>3329.8751114227293</v>
      </c>
      <c r="N88" s="7">
        <f t="shared" si="8"/>
        <v>63.336739034604761</v>
      </c>
      <c r="O88" s="23">
        <f t="shared" si="9"/>
        <v>4973.4644079554992</v>
      </c>
      <c r="P88" s="23">
        <f t="shared" si="13"/>
        <v>3329.8751114227293</v>
      </c>
      <c r="Q88" s="7">
        <f t="shared" si="10"/>
        <v>1580.2525574981651</v>
      </c>
      <c r="R88" s="7">
        <f t="shared" si="11"/>
        <v>653743.37121600891</v>
      </c>
    </row>
    <row r="89" spans="7:18">
      <c r="G89" s="7" t="s">
        <v>82</v>
      </c>
      <c r="H89" s="7">
        <f>-'tabla financiera '!N89</f>
        <v>-4973.4644079554992</v>
      </c>
      <c r="I89" s="40">
        <v>84</v>
      </c>
      <c r="J89" s="40">
        <v>80</v>
      </c>
      <c r="K89" s="23">
        <f t="shared" si="12"/>
        <v>653743.37121600891</v>
      </c>
      <c r="L89" s="7">
        <f t="shared" si="7"/>
        <v>3385.0294326254516</v>
      </c>
      <c r="M89" s="7">
        <f>+'tabla financiera '!M85</f>
        <v>3321.6571649400653</v>
      </c>
      <c r="N89" s="7">
        <f t="shared" si="8"/>
        <v>63.372267685386305</v>
      </c>
      <c r="O89" s="23">
        <f t="shared" si="9"/>
        <v>4973.4644079554992</v>
      </c>
      <c r="P89" s="23">
        <f t="shared" si="13"/>
        <v>3321.6571649400653</v>
      </c>
      <c r="Q89" s="7">
        <f t="shared" si="10"/>
        <v>1588.4349753300476</v>
      </c>
      <c r="R89" s="7">
        <f t="shared" si="11"/>
        <v>652154.93624067889</v>
      </c>
    </row>
    <row r="90" spans="7:18">
      <c r="G90" s="7" t="s">
        <v>82</v>
      </c>
      <c r="H90" s="7">
        <f>-'tabla financiera '!N90</f>
        <v>-4973.4644079554992</v>
      </c>
      <c r="I90" s="40">
        <v>85</v>
      </c>
      <c r="J90" s="40">
        <v>81</v>
      </c>
      <c r="K90" s="23">
        <f t="shared" si="12"/>
        <v>652154.93624067889</v>
      </c>
      <c r="L90" s="7">
        <f t="shared" si="7"/>
        <v>3376.8046469067031</v>
      </c>
      <c r="M90" s="7">
        <f>+'tabla financiera '!M86</f>
        <v>3313.3981287249881</v>
      </c>
      <c r="N90" s="7">
        <f t="shared" si="8"/>
        <v>63.406518181715001</v>
      </c>
      <c r="O90" s="23">
        <f t="shared" si="9"/>
        <v>4973.4644079554992</v>
      </c>
      <c r="P90" s="23">
        <f t="shared" si="13"/>
        <v>3313.3981287249881</v>
      </c>
      <c r="Q90" s="7">
        <f t="shared" si="10"/>
        <v>1596.6597610487961</v>
      </c>
      <c r="R90" s="7">
        <f t="shared" si="11"/>
        <v>650558.27647963003</v>
      </c>
    </row>
    <row r="91" spans="7:18">
      <c r="G91" s="7" t="s">
        <v>82</v>
      </c>
      <c r="H91" s="7">
        <f>-'tabla financiera '!N91</f>
        <v>-4973.4644079554992</v>
      </c>
      <c r="I91" s="40">
        <v>86</v>
      </c>
      <c r="J91" s="40">
        <v>82</v>
      </c>
      <c r="K91" s="23">
        <f t="shared" si="12"/>
        <v>650558.27647963003</v>
      </c>
      <c r="L91" s="7">
        <f t="shared" si="7"/>
        <v>3368.5372739236532</v>
      </c>
      <c r="M91" s="7">
        <f>+'tabla financiera '!M87</f>
        <v>3305.0977973288354</v>
      </c>
      <c r="N91" s="7">
        <f t="shared" si="8"/>
        <v>63.439476594817734</v>
      </c>
      <c r="O91" s="23">
        <f t="shared" si="9"/>
        <v>4973.4644079554992</v>
      </c>
      <c r="P91" s="23">
        <f t="shared" si="13"/>
        <v>3305.0977973288354</v>
      </c>
      <c r="Q91" s="7">
        <f t="shared" si="10"/>
        <v>1604.927134031846</v>
      </c>
      <c r="R91" s="7">
        <f t="shared" si="11"/>
        <v>648953.34934559814</v>
      </c>
    </row>
    <row r="92" spans="7:18">
      <c r="G92" s="7" t="s">
        <v>82</v>
      </c>
      <c r="H92" s="7">
        <f>-'tabla financiera '!N92</f>
        <v>-4973.4644079554992</v>
      </c>
      <c r="I92" s="40">
        <v>87</v>
      </c>
      <c r="J92" s="40">
        <v>83</v>
      </c>
      <c r="K92" s="23">
        <f t="shared" si="12"/>
        <v>648953.34934559814</v>
      </c>
      <c r="L92" s="7">
        <f t="shared" si="7"/>
        <v>3360.2270931629491</v>
      </c>
      <c r="M92" s="7">
        <f>+'tabla financiera '!M88</f>
        <v>3296.7559642757024</v>
      </c>
      <c r="N92" s="7">
        <f t="shared" si="8"/>
        <v>63.471128887246778</v>
      </c>
      <c r="O92" s="23">
        <f t="shared" si="9"/>
        <v>4973.4644079554992</v>
      </c>
      <c r="P92" s="23">
        <f t="shared" si="13"/>
        <v>3296.7559642757024</v>
      </c>
      <c r="Q92" s="7">
        <f t="shared" si="10"/>
        <v>1613.23731479255</v>
      </c>
      <c r="R92" s="7">
        <f t="shared" si="11"/>
        <v>647340.11203080555</v>
      </c>
    </row>
    <row r="93" spans="7:18">
      <c r="G93" s="7" t="s">
        <v>82</v>
      </c>
      <c r="H93" s="7">
        <f>-'tabla financiera '!N93</f>
        <v>-4973.4644079554992</v>
      </c>
      <c r="I93" s="40">
        <v>88</v>
      </c>
      <c r="J93" s="40">
        <v>84</v>
      </c>
      <c r="K93" s="23">
        <f t="shared" si="12"/>
        <v>647340.11203080555</v>
      </c>
      <c r="L93" s="7">
        <f t="shared" si="7"/>
        <v>3351.8738829694371</v>
      </c>
      <c r="M93" s="7">
        <f>+'tabla financiera '!M89</f>
        <v>3288.3724220573031</v>
      </c>
      <c r="N93" s="7">
        <f t="shared" si="8"/>
        <v>63.501460912134007</v>
      </c>
      <c r="O93" s="23">
        <f t="shared" si="9"/>
        <v>4973.4644079554992</v>
      </c>
      <c r="P93" s="23">
        <f t="shared" si="13"/>
        <v>3288.3724220573031</v>
      </c>
      <c r="Q93" s="7">
        <f t="shared" si="10"/>
        <v>1621.5905249860621</v>
      </c>
      <c r="R93" s="7">
        <f t="shared" si="11"/>
        <v>645718.52150581952</v>
      </c>
    </row>
    <row r="94" spans="7:18">
      <c r="G94" s="7" t="s">
        <v>82</v>
      </c>
      <c r="H94" s="7">
        <f>-'tabla financiera '!N94</f>
        <v>-4973.4644079554992</v>
      </c>
      <c r="I94" s="40">
        <v>89</v>
      </c>
      <c r="J94" s="40">
        <v>85</v>
      </c>
      <c r="K94" s="23">
        <f t="shared" si="12"/>
        <v>645718.52150581952</v>
      </c>
      <c r="L94" s="7">
        <f t="shared" si="7"/>
        <v>3343.4774205402514</v>
      </c>
      <c r="M94" s="7">
        <f>+'tabla financiera '!M90</f>
        <v>3279.9469621278117</v>
      </c>
      <c r="N94" s="7">
        <f t="shared" si="8"/>
        <v>63.530458412439657</v>
      </c>
      <c r="O94" s="23">
        <f t="shared" si="9"/>
        <v>4973.4644079554992</v>
      </c>
      <c r="P94" s="23">
        <f t="shared" si="13"/>
        <v>3279.9469621278117</v>
      </c>
      <c r="Q94" s="7">
        <f t="shared" si="10"/>
        <v>1629.9869874152478</v>
      </c>
      <c r="R94" s="7">
        <f t="shared" si="11"/>
        <v>644088.53451840428</v>
      </c>
    </row>
    <row r="95" spans="7:18">
      <c r="G95" s="7" t="s">
        <v>82</v>
      </c>
      <c r="H95" s="7">
        <f>-'tabla financiera '!N95</f>
        <v>-4973.4644079554992</v>
      </c>
      <c r="I95" s="40">
        <v>90</v>
      </c>
      <c r="J95" s="40">
        <v>86</v>
      </c>
      <c r="K95" s="23">
        <f t="shared" si="12"/>
        <v>644088.53451840428</v>
      </c>
      <c r="L95" s="7">
        <f t="shared" si="7"/>
        <v>3335.0374819188719</v>
      </c>
      <c r="M95" s="7">
        <f>+'tabla financiera '!M91</f>
        <v>3271.4793748986735</v>
      </c>
      <c r="N95" s="7">
        <f t="shared" si="8"/>
        <v>63.558107020198349</v>
      </c>
      <c r="O95" s="23">
        <f t="shared" si="9"/>
        <v>4973.4644079554992</v>
      </c>
      <c r="P95" s="23">
        <f t="shared" si="13"/>
        <v>3271.4793748986735</v>
      </c>
      <c r="Q95" s="7">
        <f t="shared" si="10"/>
        <v>1638.4269260366273</v>
      </c>
      <c r="R95" s="7">
        <f t="shared" si="11"/>
        <v>642450.10759236768</v>
      </c>
    </row>
    <row r="96" spans="7:18">
      <c r="G96" s="7" t="s">
        <v>82</v>
      </c>
      <c r="H96" s="7">
        <f>-'tabla financiera '!N96</f>
        <v>-4973.4644079554992</v>
      </c>
      <c r="I96" s="40">
        <v>91</v>
      </c>
      <c r="J96" s="40">
        <v>87</v>
      </c>
      <c r="K96" s="23">
        <f t="shared" si="12"/>
        <v>642450.10759236768</v>
      </c>
      <c r="L96" s="7">
        <f t="shared" si="7"/>
        <v>3326.5538419891486</v>
      </c>
      <c r="M96" s="7">
        <f>+'tabla financiera '!M92</f>
        <v>3262.9694497333894</v>
      </c>
      <c r="N96" s="7">
        <f t="shared" si="8"/>
        <v>63.584392255759212</v>
      </c>
      <c r="O96" s="23">
        <f t="shared" si="9"/>
        <v>4973.4644079554992</v>
      </c>
      <c r="P96" s="23">
        <f t="shared" si="13"/>
        <v>3262.9694497333894</v>
      </c>
      <c r="Q96" s="7">
        <f t="shared" si="10"/>
        <v>1646.9105659663505</v>
      </c>
      <c r="R96" s="7">
        <f t="shared" si="11"/>
        <v>640803.19702640129</v>
      </c>
    </row>
    <row r="97" spans="7:18">
      <c r="G97" s="7" t="s">
        <v>82</v>
      </c>
      <c r="H97" s="7">
        <f>-'tabla financiera '!N97</f>
        <v>-4973.4644079554992</v>
      </c>
      <c r="I97" s="40">
        <v>92</v>
      </c>
      <c r="J97" s="40">
        <v>88</v>
      </c>
      <c r="K97" s="23">
        <f t="shared" si="12"/>
        <v>640803.19702640129</v>
      </c>
      <c r="L97" s="7">
        <f t="shared" si="7"/>
        <v>3318.0262744693</v>
      </c>
      <c r="M97" s="7">
        <f>+'tabla financiera '!M93</f>
        <v>3254.4169749422786</v>
      </c>
      <c r="N97" s="7">
        <f t="shared" si="8"/>
        <v>63.609299527021449</v>
      </c>
      <c r="O97" s="23">
        <f t="shared" si="9"/>
        <v>4973.4644079554992</v>
      </c>
      <c r="P97" s="23">
        <f t="shared" si="13"/>
        <v>3254.4169749422786</v>
      </c>
      <c r="Q97" s="7">
        <f t="shared" si="10"/>
        <v>1655.4381334861991</v>
      </c>
      <c r="R97" s="7">
        <f t="shared" si="11"/>
        <v>639147.7588929151</v>
      </c>
    </row>
    <row r="98" spans="7:18">
      <c r="G98" s="7" t="s">
        <v>82</v>
      </c>
      <c r="H98" s="7">
        <f>-'tabla financiera '!N98</f>
        <v>-4973.4644079554992</v>
      </c>
      <c r="I98" s="40">
        <v>93</v>
      </c>
      <c r="J98" s="40">
        <v>89</v>
      </c>
      <c r="K98" s="23">
        <f t="shared" si="12"/>
        <v>639147.7588929151</v>
      </c>
      <c r="L98" s="7">
        <f t="shared" si="7"/>
        <v>3309.4545519058756</v>
      </c>
      <c r="M98" s="7">
        <f>+'tabla financiera '!M94</f>
        <v>3245.8217377772125</v>
      </c>
      <c r="N98" s="7">
        <f t="shared" si="8"/>
        <v>63.632814128663085</v>
      </c>
      <c r="O98" s="23">
        <f t="shared" si="9"/>
        <v>4973.4644079554992</v>
      </c>
      <c r="P98" s="23">
        <f t="shared" si="13"/>
        <v>3245.8217377772125</v>
      </c>
      <c r="Q98" s="7">
        <f t="shared" si="10"/>
        <v>1664.0098560496235</v>
      </c>
      <c r="R98" s="7">
        <f t="shared" si="11"/>
        <v>637483.74903686543</v>
      </c>
    </row>
    <row r="99" spans="7:18">
      <c r="G99" s="7" t="s">
        <v>82</v>
      </c>
      <c r="H99" s="7">
        <f>-'tabla financiera '!N99</f>
        <v>-4973.4644079554992</v>
      </c>
      <c r="I99" s="40">
        <v>94</v>
      </c>
      <c r="J99" s="40">
        <v>90</v>
      </c>
      <c r="K99" s="23">
        <f t="shared" si="12"/>
        <v>637483.74903686543</v>
      </c>
      <c r="L99" s="7">
        <f t="shared" si="7"/>
        <v>3300.8384456676895</v>
      </c>
      <c r="M99" s="7">
        <f>+'tabla financiera '!M95</f>
        <v>3237.1835244263207</v>
      </c>
      <c r="N99" s="7">
        <f t="shared" si="8"/>
        <v>63.654921241368811</v>
      </c>
      <c r="O99" s="23">
        <f t="shared" si="9"/>
        <v>4973.4644079554992</v>
      </c>
      <c r="P99" s="23">
        <f t="shared" si="13"/>
        <v>3237.1835244263207</v>
      </c>
      <c r="Q99" s="7">
        <f t="shared" si="10"/>
        <v>1672.6259622878097</v>
      </c>
      <c r="R99" s="7">
        <f t="shared" si="11"/>
        <v>635811.12307457766</v>
      </c>
    </row>
    <row r="100" spans="7:18">
      <c r="G100" s="7" t="s">
        <v>82</v>
      </c>
      <c r="H100" s="7">
        <f>-'tabla financiera '!N100</f>
        <v>-4973.4644079554992</v>
      </c>
      <c r="I100" s="40">
        <v>95</v>
      </c>
      <c r="J100" s="40">
        <v>91</v>
      </c>
      <c r="K100" s="23">
        <f t="shared" si="12"/>
        <v>635811.12307457766</v>
      </c>
      <c r="L100" s="7">
        <f t="shared" si="7"/>
        <v>3292.1777259397236</v>
      </c>
      <c r="M100" s="7">
        <f>+'tabla financiera '!M96</f>
        <v>3228.5021200086749</v>
      </c>
      <c r="N100" s="7">
        <f t="shared" si="8"/>
        <v>63.675605931048722</v>
      </c>
      <c r="O100" s="23">
        <f t="shared" si="9"/>
        <v>4973.4644079554992</v>
      </c>
      <c r="P100" s="23">
        <f t="shared" si="13"/>
        <v>3228.5021200086749</v>
      </c>
      <c r="Q100" s="7">
        <f t="shared" si="10"/>
        <v>1681.2866820157756</v>
      </c>
      <c r="R100" s="7">
        <f t="shared" si="11"/>
        <v>634129.83639256191</v>
      </c>
    </row>
    <row r="101" spans="7:18">
      <c r="G101" s="7" t="s">
        <v>82</v>
      </c>
      <c r="H101" s="7">
        <f>-'tabla financiera '!N101</f>
        <v>-4973.4644079554992</v>
      </c>
      <c r="I101" s="40">
        <v>96</v>
      </c>
      <c r="J101" s="40">
        <v>92</v>
      </c>
      <c r="K101" s="23">
        <f t="shared" si="12"/>
        <v>634129.83639256191</v>
      </c>
      <c r="L101" s="7">
        <f t="shared" si="7"/>
        <v>3283.4721617169944</v>
      </c>
      <c r="M101" s="7">
        <f>+'tabla financiera '!M97</f>
        <v>3219.7773085689405</v>
      </c>
      <c r="N101" s="7">
        <f t="shared" si="8"/>
        <v>63.69485314805388</v>
      </c>
      <c r="O101" s="23">
        <f t="shared" si="9"/>
        <v>4973.4644079554992</v>
      </c>
      <c r="P101" s="23">
        <f t="shared" si="13"/>
        <v>3219.7773085689405</v>
      </c>
      <c r="Q101" s="7">
        <f t="shared" si="10"/>
        <v>1689.9922462385048</v>
      </c>
      <c r="R101" s="7">
        <f t="shared" si="11"/>
        <v>632439.84414632339</v>
      </c>
    </row>
    <row r="102" spans="7:18">
      <c r="G102" s="7" t="s">
        <v>82</v>
      </c>
      <c r="H102" s="7">
        <f>-'tabla financiera '!N102</f>
        <v>-4973.4644079554992</v>
      </c>
      <c r="I102" s="40">
        <v>97</v>
      </c>
      <c r="J102" s="40">
        <v>93</v>
      </c>
      <c r="K102" s="23">
        <f t="shared" si="12"/>
        <v>632439.84414632339</v>
      </c>
      <c r="L102" s="7">
        <f t="shared" si="7"/>
        <v>3274.7215207983945</v>
      </c>
      <c r="M102" s="7">
        <f>+'tabla financiera '!M98</f>
        <v>3211.0088730720076</v>
      </c>
      <c r="N102" s="7">
        <f t="shared" si="8"/>
        <v>63.712647726386876</v>
      </c>
      <c r="O102" s="23">
        <f t="shared" si="9"/>
        <v>4973.4644079554992</v>
      </c>
      <c r="P102" s="23">
        <f t="shared" si="13"/>
        <v>3211.0088730720076</v>
      </c>
      <c r="Q102" s="7">
        <f t="shared" si="10"/>
        <v>1698.7428871571046</v>
      </c>
      <c r="R102" s="7">
        <f t="shared" si="11"/>
        <v>630741.10125916626</v>
      </c>
    </row>
    <row r="103" spans="7:18">
      <c r="G103" s="7" t="s">
        <v>82</v>
      </c>
      <c r="H103" s="7">
        <f>-'tabla financiera '!N103</f>
        <v>-4973.4644079554992</v>
      </c>
      <c r="I103" s="40">
        <v>98</v>
      </c>
      <c r="J103" s="40">
        <v>94</v>
      </c>
      <c r="K103" s="23">
        <f t="shared" si="12"/>
        <v>630741.10125916626</v>
      </c>
      <c r="L103" s="7">
        <f t="shared" si="7"/>
        <v>3265.9255697804988</v>
      </c>
      <c r="M103" s="7">
        <f>+'tabla financiera '!M99</f>
        <v>3202.19659539759</v>
      </c>
      <c r="N103" s="7">
        <f t="shared" si="8"/>
        <v>63.728974382908746</v>
      </c>
      <c r="O103" s="23">
        <f t="shared" si="9"/>
        <v>4973.4644079554992</v>
      </c>
      <c r="P103" s="23">
        <f t="shared" si="13"/>
        <v>3202.19659539759</v>
      </c>
      <c r="Q103" s="7">
        <f t="shared" si="10"/>
        <v>1707.5388381750004</v>
      </c>
      <c r="R103" s="7">
        <f t="shared" si="11"/>
        <v>629033.56242099125</v>
      </c>
    </row>
    <row r="104" spans="7:18">
      <c r="G104" s="7" t="s">
        <v>82</v>
      </c>
      <c r="H104" s="7">
        <f>-'tabla financiera '!N104</f>
        <v>-4973.4644079554992</v>
      </c>
      <c r="I104" s="40">
        <v>99</v>
      </c>
      <c r="J104" s="40">
        <v>95</v>
      </c>
      <c r="K104" s="23">
        <f t="shared" si="12"/>
        <v>629033.56242099125</v>
      </c>
      <c r="L104" s="7">
        <f t="shared" si="7"/>
        <v>3257.0840740513381</v>
      </c>
      <c r="M104" s="7">
        <f>+'tabla financiera '!M100</f>
        <v>3193.3402563348004</v>
      </c>
      <c r="N104" s="7">
        <f t="shared" si="8"/>
        <v>63.743817716537706</v>
      </c>
      <c r="O104" s="23">
        <f t="shared" si="9"/>
        <v>4973.4644079554992</v>
      </c>
      <c r="P104" s="23">
        <f t="shared" si="13"/>
        <v>3193.3402563348004</v>
      </c>
      <c r="Q104" s="7">
        <f t="shared" si="10"/>
        <v>1716.380333904161</v>
      </c>
      <c r="R104" s="7">
        <f t="shared" si="11"/>
        <v>627317.18208708707</v>
      </c>
    </row>
    <row r="105" spans="7:18">
      <c r="G105" s="7" t="s">
        <v>82</v>
      </c>
      <c r="H105" s="7">
        <f>-'tabla financiera '!N105</f>
        <v>-4973.4644079554992</v>
      </c>
      <c r="I105" s="40">
        <v>100</v>
      </c>
      <c r="J105" s="40">
        <v>96</v>
      </c>
      <c r="K105" s="23">
        <f t="shared" si="12"/>
        <v>627317.18208708707</v>
      </c>
      <c r="L105" s="7">
        <f t="shared" si="7"/>
        <v>3248.1967977841414</v>
      </c>
      <c r="M105" s="7">
        <f>+'tabla financiera '!M101</f>
        <v>3184.4396355766971</v>
      </c>
      <c r="N105" s="7">
        <f t="shared" si="8"/>
        <v>63.757162207444253</v>
      </c>
      <c r="O105" s="23">
        <f t="shared" si="9"/>
        <v>4973.4644079554992</v>
      </c>
      <c r="P105" s="23">
        <f t="shared" si="13"/>
        <v>3184.4396355766971</v>
      </c>
      <c r="Q105" s="7">
        <f t="shared" si="10"/>
        <v>1725.2676101713578</v>
      </c>
      <c r="R105" s="7">
        <f t="shared" si="11"/>
        <v>625591.91447691573</v>
      </c>
    </row>
    <row r="106" spans="7:18">
      <c r="G106" s="7" t="s">
        <v>82</v>
      </c>
      <c r="H106" s="7">
        <f>-'tabla financiera '!N106</f>
        <v>-4973.4644079554992</v>
      </c>
      <c r="I106" s="40">
        <v>101</v>
      </c>
      <c r="J106" s="40">
        <v>97</v>
      </c>
      <c r="K106" s="23">
        <f t="shared" si="12"/>
        <v>625591.91447691573</v>
      </c>
      <c r="L106" s="7">
        <f t="shared" si="7"/>
        <v>3239.2635039310467</v>
      </c>
      <c r="M106" s="7">
        <f>+'tabla financiera '!M102</f>
        <v>3175.4945117148031</v>
      </c>
      <c r="N106" s="7">
        <f t="shared" si="8"/>
        <v>63.768992216243532</v>
      </c>
      <c r="O106" s="23">
        <f t="shared" si="9"/>
        <v>4973.4644079554992</v>
      </c>
      <c r="P106" s="23">
        <f t="shared" si="13"/>
        <v>3175.4945117148031</v>
      </c>
      <c r="Q106" s="7">
        <f t="shared" si="10"/>
        <v>1734.2009040244525</v>
      </c>
      <c r="R106" s="7">
        <f t="shared" si="11"/>
        <v>623857.71357289131</v>
      </c>
    </row>
    <row r="107" spans="7:18">
      <c r="G107" s="7" t="s">
        <v>82</v>
      </c>
      <c r="H107" s="7">
        <f>-'tabla financiera '!N107</f>
        <v>-4973.4644079554992</v>
      </c>
      <c r="I107" s="40">
        <v>102</v>
      </c>
      <c r="J107" s="40">
        <v>98</v>
      </c>
      <c r="K107" s="23">
        <f t="shared" si="12"/>
        <v>623857.71357289131</v>
      </c>
      <c r="L107" s="7">
        <f t="shared" si="7"/>
        <v>3230.2839542167771</v>
      </c>
      <c r="M107" s="7">
        <f>+'tabla financiera '!M103</f>
        <v>3166.5046622335994</v>
      </c>
      <c r="N107" s="7">
        <f t="shared" si="8"/>
        <v>63.7792919831777</v>
      </c>
      <c r="O107" s="23">
        <f t="shared" si="9"/>
        <v>4973.4644079554992</v>
      </c>
      <c r="P107" s="23">
        <f t="shared" si="13"/>
        <v>3166.5046622335994</v>
      </c>
      <c r="Q107" s="7">
        <f t="shared" si="10"/>
        <v>1743.180453738722</v>
      </c>
      <c r="R107" s="7">
        <f t="shared" si="11"/>
        <v>622114.53311915253</v>
      </c>
    </row>
    <row r="108" spans="7:18">
      <c r="G108" s="7" t="s">
        <v>82</v>
      </c>
      <c r="H108" s="7">
        <f>-'tabla financiera '!N108</f>
        <v>-4973.4644079554992</v>
      </c>
      <c r="I108" s="40">
        <v>103</v>
      </c>
      <c r="J108" s="40">
        <v>99</v>
      </c>
      <c r="K108" s="23">
        <f t="shared" si="12"/>
        <v>622114.53311915253</v>
      </c>
      <c r="L108" s="7">
        <f t="shared" si="7"/>
        <v>3221.2579091322855</v>
      </c>
      <c r="M108" s="7">
        <f>+'tabla financiera '!M104</f>
        <v>3157.4698635049899</v>
      </c>
      <c r="N108" s="7">
        <f t="shared" si="8"/>
        <v>63.78804562729556</v>
      </c>
      <c r="O108" s="23">
        <f t="shared" si="9"/>
        <v>4973.4644079554992</v>
      </c>
      <c r="P108" s="23">
        <f t="shared" si="13"/>
        <v>3157.4698635049899</v>
      </c>
      <c r="Q108" s="7">
        <f t="shared" si="10"/>
        <v>1752.2064988232137</v>
      </c>
      <c r="R108" s="7">
        <f t="shared" si="11"/>
        <v>620362.32662032929</v>
      </c>
    </row>
    <row r="109" spans="7:18">
      <c r="G109" s="7" t="s">
        <v>82</v>
      </c>
      <c r="H109" s="7">
        <f>-'tabla financiera '!N109</f>
        <v>-4973.4644079554992</v>
      </c>
      <c r="I109" s="40">
        <v>104</v>
      </c>
      <c r="J109" s="40">
        <v>100</v>
      </c>
      <c r="K109" s="23">
        <f t="shared" si="12"/>
        <v>620362.32662032929</v>
      </c>
      <c r="L109" s="7">
        <f t="shared" si="7"/>
        <v>3212.1851279283683</v>
      </c>
      <c r="M109" s="7">
        <f>+'tabla financiera '!M105</f>
        <v>3148.389890782737</v>
      </c>
      <c r="N109" s="7">
        <f t="shared" si="8"/>
        <v>63.79523714563129</v>
      </c>
      <c r="O109" s="23">
        <f t="shared" si="9"/>
        <v>4973.4644079554992</v>
      </c>
      <c r="P109" s="23">
        <f t="shared" si="13"/>
        <v>3148.389890782737</v>
      </c>
      <c r="Q109" s="7">
        <f t="shared" si="10"/>
        <v>1761.2792800271309</v>
      </c>
      <c r="R109" s="7">
        <f t="shared" si="11"/>
        <v>618601.04734030215</v>
      </c>
    </row>
    <row r="110" spans="7:18">
      <c r="G110" s="7" t="s">
        <v>82</v>
      </c>
      <c r="H110" s="7">
        <f>-'tabla financiera '!N110</f>
        <v>-4973.4644079554992</v>
      </c>
      <c r="I110" s="40">
        <v>105</v>
      </c>
      <c r="J110" s="40">
        <v>101</v>
      </c>
      <c r="K110" s="23">
        <f t="shared" si="12"/>
        <v>618601.04734030215</v>
      </c>
      <c r="L110" s="7">
        <f t="shared" si="7"/>
        <v>3203.0653686092405</v>
      </c>
      <c r="M110" s="7">
        <f>+'tabla financiera '!M106</f>
        <v>3139.2645181968733</v>
      </c>
      <c r="N110" s="7">
        <f t="shared" si="8"/>
        <v>63.800850412367254</v>
      </c>
      <c r="O110" s="23">
        <f t="shared" si="9"/>
        <v>4973.4644079554992</v>
      </c>
      <c r="P110" s="23">
        <f t="shared" si="13"/>
        <v>3139.2645181968733</v>
      </c>
      <c r="Q110" s="7">
        <f t="shared" si="10"/>
        <v>1770.3990393462586</v>
      </c>
      <c r="R110" s="7">
        <f t="shared" si="11"/>
        <v>616830.64830095589</v>
      </c>
    </row>
    <row r="111" spans="7:18">
      <c r="G111" s="7" t="s">
        <v>82</v>
      </c>
      <c r="H111" s="7">
        <f>-'tabla financiera '!N111</f>
        <v>-4973.4644079554992</v>
      </c>
      <c r="I111" s="40">
        <v>106</v>
      </c>
      <c r="J111" s="40">
        <v>102</v>
      </c>
      <c r="K111" s="23">
        <f t="shared" si="12"/>
        <v>616830.64830095589</v>
      </c>
      <c r="L111" s="7">
        <f t="shared" si="7"/>
        <v>3193.8983879260836</v>
      </c>
      <c r="M111" s="7">
        <f>+'tabla financiera '!M107</f>
        <v>3130.0935187480804</v>
      </c>
      <c r="N111" s="7">
        <f t="shared" si="8"/>
        <v>63.804869178003173</v>
      </c>
      <c r="O111" s="23">
        <f t="shared" si="9"/>
        <v>4973.4644079554992</v>
      </c>
      <c r="P111" s="23">
        <f t="shared" si="13"/>
        <v>3130.0935187480804</v>
      </c>
      <c r="Q111" s="7">
        <f t="shared" si="10"/>
        <v>1779.5660200294155</v>
      </c>
      <c r="R111" s="7">
        <f t="shared" si="11"/>
        <v>615051.08228092652</v>
      </c>
    </row>
    <row r="112" spans="7:18">
      <c r="G112" s="7" t="s">
        <v>82</v>
      </c>
      <c r="H112" s="7">
        <f>-'tabla financiera '!N112</f>
        <v>-4973.4644079554992</v>
      </c>
      <c r="I112" s="40">
        <v>107</v>
      </c>
      <c r="J112" s="40">
        <v>103</v>
      </c>
      <c r="K112" s="23">
        <f t="shared" si="12"/>
        <v>615051.08228092652</v>
      </c>
      <c r="L112" s="7">
        <f t="shared" si="7"/>
        <v>3184.683941370557</v>
      </c>
      <c r="M112" s="7">
        <f>+'tabla financiera '!M108</f>
        <v>3120.8766643020431</v>
      </c>
      <c r="N112" s="7">
        <f t="shared" si="8"/>
        <v>63.80727706851394</v>
      </c>
      <c r="O112" s="23">
        <f t="shared" si="9"/>
        <v>4973.4644079554992</v>
      </c>
      <c r="P112" s="23">
        <f t="shared" si="13"/>
        <v>3120.8766643020431</v>
      </c>
      <c r="Q112" s="7">
        <f t="shared" si="10"/>
        <v>1788.7804665849421</v>
      </c>
      <c r="R112" s="7">
        <f t="shared" si="11"/>
        <v>613262.30181434157</v>
      </c>
    </row>
    <row r="113" spans="7:18">
      <c r="G113" s="7" t="s">
        <v>82</v>
      </c>
      <c r="H113" s="7">
        <f>-'tabla financiera '!N113</f>
        <v>-4973.4644079554992</v>
      </c>
      <c r="I113" s="40">
        <v>108</v>
      </c>
      <c r="J113" s="40">
        <v>104</v>
      </c>
      <c r="K113" s="23">
        <f t="shared" si="12"/>
        <v>613262.30181434157</v>
      </c>
      <c r="L113" s="7">
        <f t="shared" si="7"/>
        <v>3175.4217831682759</v>
      </c>
      <c r="M113" s="7">
        <f>+'tabla financiera '!M109</f>
        <v>3111.6137255837757</v>
      </c>
      <c r="N113" s="7">
        <f t="shared" si="8"/>
        <v>63.808057584500148</v>
      </c>
      <c r="O113" s="23">
        <f t="shared" si="9"/>
        <v>4973.4644079554992</v>
      </c>
      <c r="P113" s="23">
        <f t="shared" si="13"/>
        <v>3111.6137255837757</v>
      </c>
      <c r="Q113" s="7">
        <f t="shared" si="10"/>
        <v>1798.0426247872233</v>
      </c>
      <c r="R113" s="7">
        <f t="shared" si="11"/>
        <v>611464.25918955437</v>
      </c>
    </row>
    <row r="114" spans="7:18">
      <c r="G114" s="7" t="s">
        <v>82</v>
      </c>
      <c r="H114" s="7">
        <f>-'tabla financiera '!N114</f>
        <v>-4973.4644079554992</v>
      </c>
      <c r="I114" s="40">
        <v>109</v>
      </c>
      <c r="J114" s="40">
        <v>105</v>
      </c>
      <c r="K114" s="23">
        <f t="shared" si="12"/>
        <v>611464.25918955437</v>
      </c>
      <c r="L114" s="7">
        <f t="shared" si="7"/>
        <v>3166.1116662722548</v>
      </c>
      <c r="M114" s="7">
        <f>+'tabla financiera '!M110</f>
        <v>3102.304472171917</v>
      </c>
      <c r="N114" s="7">
        <f t="shared" si="8"/>
        <v>63.807194100337711</v>
      </c>
      <c r="O114" s="23">
        <f t="shared" si="9"/>
        <v>4973.4644079554992</v>
      </c>
      <c r="P114" s="23">
        <f t="shared" si="13"/>
        <v>3102.304472171917</v>
      </c>
      <c r="Q114" s="7">
        <f t="shared" si="10"/>
        <v>1807.3527416832444</v>
      </c>
      <c r="R114" s="7">
        <f t="shared" si="11"/>
        <v>609656.90644787112</v>
      </c>
    </row>
    <row r="115" spans="7:18">
      <c r="G115" s="7" t="s">
        <v>82</v>
      </c>
      <c r="H115" s="7">
        <f>-'tabla financiera '!N115</f>
        <v>-4973.4644079554992</v>
      </c>
      <c r="I115" s="40">
        <v>110</v>
      </c>
      <c r="J115" s="40">
        <v>106</v>
      </c>
      <c r="K115" s="23">
        <f t="shared" si="12"/>
        <v>609656.90644787112</v>
      </c>
      <c r="L115" s="7">
        <f t="shared" si="7"/>
        <v>3156.7533423563209</v>
      </c>
      <c r="M115" s="7">
        <f>+'tabla financiera '!M111</f>
        <v>3092.9486724929989</v>
      </c>
      <c r="N115" s="7">
        <f t="shared" si="8"/>
        <v>63.804669863322033</v>
      </c>
      <c r="O115" s="23">
        <f t="shared" si="9"/>
        <v>4973.4644079554992</v>
      </c>
      <c r="P115" s="23">
        <f t="shared" si="13"/>
        <v>3092.9486724929989</v>
      </c>
      <c r="Q115" s="7">
        <f t="shared" si="10"/>
        <v>1816.7110655991783</v>
      </c>
      <c r="R115" s="7">
        <f t="shared" si="11"/>
        <v>607840.19538227189</v>
      </c>
    </row>
    <row r="116" spans="7:18">
      <c r="G116" s="7" t="s">
        <v>82</v>
      </c>
      <c r="H116" s="7">
        <f>-'tabla financiera '!N116</f>
        <v>-4973.4644079554992</v>
      </c>
      <c r="I116" s="40">
        <v>111</v>
      </c>
      <c r="J116" s="40">
        <v>107</v>
      </c>
      <c r="K116" s="23">
        <f t="shared" si="12"/>
        <v>607840.19538227189</v>
      </c>
      <c r="L116" s="7">
        <f t="shared" si="7"/>
        <v>3147.3465618084874</v>
      </c>
      <c r="M116" s="7">
        <f>+'tabla financiera '!M112</f>
        <v>3083.5460938156862</v>
      </c>
      <c r="N116" s="7">
        <f t="shared" si="8"/>
        <v>63.800467992801259</v>
      </c>
      <c r="O116" s="23">
        <f t="shared" si="9"/>
        <v>4973.4644079554992</v>
      </c>
      <c r="P116" s="23">
        <f t="shared" si="13"/>
        <v>3083.5460938156862</v>
      </c>
      <c r="Q116" s="7">
        <f t="shared" si="10"/>
        <v>1826.1178461470117</v>
      </c>
      <c r="R116" s="7">
        <f t="shared" si="11"/>
        <v>606014.07753612485</v>
      </c>
    </row>
    <row r="117" spans="7:18">
      <c r="G117" s="7" t="s">
        <v>82</v>
      </c>
      <c r="H117" s="7">
        <f>-'tabla financiera '!N117</f>
        <v>-4973.4644079554992</v>
      </c>
      <c r="I117" s="40">
        <v>112</v>
      </c>
      <c r="J117" s="40">
        <v>108</v>
      </c>
      <c r="K117" s="23">
        <f t="shared" si="12"/>
        <v>606014.07753612485</v>
      </c>
      <c r="L117" s="7">
        <f t="shared" si="7"/>
        <v>3137.8910737242986</v>
      </c>
      <c r="M117" s="7">
        <f>+'tabla financiera '!M113</f>
        <v>3074.0965022449873</v>
      </c>
      <c r="N117" s="7">
        <f t="shared" si="8"/>
        <v>63.794571479311344</v>
      </c>
      <c r="O117" s="23">
        <f t="shared" si="9"/>
        <v>4973.4644079554992</v>
      </c>
      <c r="P117" s="23">
        <f t="shared" si="13"/>
        <v>3074.0965022449873</v>
      </c>
      <c r="Q117" s="7">
        <f t="shared" si="10"/>
        <v>1835.5733342312005</v>
      </c>
      <c r="R117" s="7">
        <f t="shared" si="11"/>
        <v>604178.50420189369</v>
      </c>
    </row>
    <row r="118" spans="7:18">
      <c r="G118" s="7" t="s">
        <v>82</v>
      </c>
      <c r="H118" s="7">
        <f>-'tabla financiera '!N118</f>
        <v>-4973.4644079554992</v>
      </c>
      <c r="I118" s="40">
        <v>113</v>
      </c>
      <c r="J118" s="40">
        <v>109</v>
      </c>
      <c r="K118" s="23">
        <f t="shared" si="12"/>
        <v>604178.50420189369</v>
      </c>
      <c r="L118" s="7">
        <f t="shared" si="7"/>
        <v>3128.3866259001361</v>
      </c>
      <c r="M118" s="7">
        <f>+'tabla financiera '!M114</f>
        <v>3064.599662716435</v>
      </c>
      <c r="N118" s="7">
        <f t="shared" si="8"/>
        <v>63.786963183701118</v>
      </c>
      <c r="O118" s="23">
        <f t="shared" si="9"/>
        <v>4973.4644079554992</v>
      </c>
      <c r="P118" s="23">
        <f t="shared" si="13"/>
        <v>3064.599662716435</v>
      </c>
      <c r="Q118" s="7">
        <f t="shared" si="10"/>
        <v>1845.0777820553631</v>
      </c>
      <c r="R118" s="7">
        <f t="shared" si="11"/>
        <v>602333.42641983833</v>
      </c>
    </row>
    <row r="119" spans="7:18">
      <c r="G119" s="7" t="s">
        <v>82</v>
      </c>
      <c r="H119" s="7">
        <f>-'tabla financiera '!N119</f>
        <v>-4973.4644079554992</v>
      </c>
      <c r="I119" s="40">
        <v>114</v>
      </c>
      <c r="J119" s="40">
        <v>110</v>
      </c>
      <c r="K119" s="23">
        <f t="shared" si="12"/>
        <v>602333.42641983833</v>
      </c>
      <c r="L119" s="7">
        <f t="shared" si="7"/>
        <v>3118.8329648264894</v>
      </c>
      <c r="M119" s="7">
        <f>+'tabla financiera '!M115</f>
        <v>3055.0553389902398</v>
      </c>
      <c r="N119" s="7">
        <f t="shared" si="8"/>
        <v>63.777625836249626</v>
      </c>
      <c r="O119" s="23">
        <f t="shared" si="9"/>
        <v>4973.4644079554992</v>
      </c>
      <c r="P119" s="23">
        <f t="shared" si="13"/>
        <v>3055.0553389902398</v>
      </c>
      <c r="Q119" s="7">
        <f t="shared" si="10"/>
        <v>1854.6314431290098</v>
      </c>
      <c r="R119" s="7">
        <f t="shared" si="11"/>
        <v>600478.79497670929</v>
      </c>
    </row>
    <row r="120" spans="7:18">
      <c r="G120" s="7" t="s">
        <v>82</v>
      </c>
      <c r="H120" s="7">
        <f>-'tabla financiera '!N120</f>
        <v>-4973.4644079554992</v>
      </c>
      <c r="I120" s="40">
        <v>115</v>
      </c>
      <c r="J120" s="40">
        <v>111</v>
      </c>
      <c r="K120" s="23">
        <f t="shared" si="12"/>
        <v>600478.79497670929</v>
      </c>
      <c r="L120" s="7">
        <f t="shared" si="7"/>
        <v>3109.2298356811998</v>
      </c>
      <c r="M120" s="7">
        <f>+'tabla financiera '!M116</f>
        <v>3045.4632936454136</v>
      </c>
      <c r="N120" s="7">
        <f t="shared" si="8"/>
        <v>63.766542035786188</v>
      </c>
      <c r="O120" s="23">
        <f t="shared" si="9"/>
        <v>4973.4644079554992</v>
      </c>
      <c r="P120" s="23">
        <f t="shared" si="13"/>
        <v>3045.4632936454136</v>
      </c>
      <c r="Q120" s="7">
        <f t="shared" si="10"/>
        <v>1864.2345722742994</v>
      </c>
      <c r="R120" s="7">
        <f t="shared" si="11"/>
        <v>598614.56040443503</v>
      </c>
    </row>
    <row r="121" spans="7:18">
      <c r="G121" s="7" t="s">
        <v>82</v>
      </c>
      <c r="H121" s="7">
        <f>-'tabla financiera '!N121</f>
        <v>-4973.4644079554992</v>
      </c>
      <c r="I121" s="40">
        <v>116</v>
      </c>
      <c r="J121" s="40">
        <v>112</v>
      </c>
      <c r="K121" s="23">
        <f t="shared" si="12"/>
        <v>598614.56040443503</v>
      </c>
      <c r="L121" s="7">
        <f t="shared" si="7"/>
        <v>3099.5769823226592</v>
      </c>
      <c r="M121" s="7">
        <f>+'tabla financiera '!M117</f>
        <v>3035.8232880738628</v>
      </c>
      <c r="N121" s="7">
        <f t="shared" si="8"/>
        <v>63.753694248796364</v>
      </c>
      <c r="O121" s="23">
        <f t="shared" si="9"/>
        <v>4973.4644079554992</v>
      </c>
      <c r="P121" s="23">
        <f t="shared" si="13"/>
        <v>3035.8232880738628</v>
      </c>
      <c r="Q121" s="7">
        <f t="shared" si="10"/>
        <v>1873.8874256328399</v>
      </c>
      <c r="R121" s="7">
        <f t="shared" si="11"/>
        <v>596740.67297880223</v>
      </c>
    </row>
    <row r="122" spans="7:18">
      <c r="G122" s="7" t="s">
        <v>82</v>
      </c>
      <c r="H122" s="7">
        <f>-'tabla financiera '!N122</f>
        <v>-4973.4644079554992</v>
      </c>
      <c r="I122" s="40">
        <v>117</v>
      </c>
      <c r="J122" s="40">
        <v>113</v>
      </c>
      <c r="K122" s="23">
        <f t="shared" si="12"/>
        <v>596740.67297880223</v>
      </c>
      <c r="L122" s="7">
        <f t="shared" si="7"/>
        <v>3089.8741472829784</v>
      </c>
      <c r="M122" s="7">
        <f>+'tabla financiera '!M118</f>
        <v>3026.1350824744545</v>
      </c>
      <c r="N122" s="7">
        <f t="shared" si="8"/>
        <v>63.739064808523835</v>
      </c>
      <c r="O122" s="23">
        <f t="shared" si="9"/>
        <v>4973.4644079554992</v>
      </c>
      <c r="P122" s="23">
        <f t="shared" si="13"/>
        <v>3026.1350824744545</v>
      </c>
      <c r="Q122" s="7">
        <f t="shared" si="10"/>
        <v>1883.5902606725208</v>
      </c>
      <c r="R122" s="7">
        <f t="shared" si="11"/>
        <v>594857.08271812974</v>
      </c>
    </row>
    <row r="123" spans="7:18">
      <c r="G123" s="7" t="s">
        <v>82</v>
      </c>
      <c r="H123" s="7">
        <f>-'tabla financiera '!N123</f>
        <v>-4973.4644079554992</v>
      </c>
      <c r="I123" s="40">
        <v>118</v>
      </c>
      <c r="J123" s="40">
        <v>114</v>
      </c>
      <c r="K123" s="23">
        <f t="shared" si="12"/>
        <v>594857.08271812974</v>
      </c>
      <c r="L123" s="7">
        <f t="shared" si="7"/>
        <v>3080.1210717611211</v>
      </c>
      <c r="M123" s="7">
        <f>+'tabla financiera '!M119</f>
        <v>3016.3984358470493</v>
      </c>
      <c r="N123" s="7">
        <f t="shared" si="8"/>
        <v>63.722635914071816</v>
      </c>
      <c r="O123" s="23">
        <f t="shared" si="9"/>
        <v>4973.4644079554992</v>
      </c>
      <c r="P123" s="23">
        <f t="shared" si="13"/>
        <v>3016.3984358470493</v>
      </c>
      <c r="Q123" s="7">
        <f t="shared" si="10"/>
        <v>1893.343336194378</v>
      </c>
      <c r="R123" s="7">
        <f t="shared" si="11"/>
        <v>592963.73938193533</v>
      </c>
    </row>
    <row r="124" spans="7:18">
      <c r="G124" s="7" t="s">
        <v>82</v>
      </c>
      <c r="H124" s="7">
        <f>-'tabla financiera '!N124</f>
        <v>-4973.4644079554992</v>
      </c>
      <c r="I124" s="40">
        <v>119</v>
      </c>
      <c r="J124" s="40">
        <v>115</v>
      </c>
      <c r="K124" s="23">
        <f t="shared" si="12"/>
        <v>592963.73938193533</v>
      </c>
      <c r="L124" s="7">
        <f t="shared" si="7"/>
        <v>3070.3174956160019</v>
      </c>
      <c r="M124" s="7">
        <f>+'tabla financiera '!M120</f>
        <v>3006.613105986507</v>
      </c>
      <c r="N124" s="7">
        <f t="shared" si="8"/>
        <v>63.704389629494926</v>
      </c>
      <c r="O124" s="23">
        <f t="shared" si="9"/>
        <v>4973.4644079554992</v>
      </c>
      <c r="P124" s="23">
        <f t="shared" si="13"/>
        <v>3006.613105986507</v>
      </c>
      <c r="Q124" s="7">
        <f t="shared" si="10"/>
        <v>1903.1469123394972</v>
      </c>
      <c r="R124" s="7">
        <f t="shared" si="11"/>
        <v>591060.59246959584</v>
      </c>
    </row>
    <row r="125" spans="7:18">
      <c r="G125" s="7" t="s">
        <v>82</v>
      </c>
      <c r="H125" s="7">
        <f>-'tabla financiera '!N125</f>
        <v>-4973.4644079554992</v>
      </c>
      <c r="I125" s="40">
        <v>120</v>
      </c>
      <c r="J125" s="40">
        <v>116</v>
      </c>
      <c r="K125" s="23">
        <f t="shared" si="12"/>
        <v>591060.59246959584</v>
      </c>
      <c r="L125" s="7">
        <f t="shared" si="7"/>
        <v>3060.4631573595443</v>
      </c>
      <c r="M125" s="7">
        <f>+'tabla financiera '!M121</f>
        <v>2996.7788494766619</v>
      </c>
      <c r="N125" s="7">
        <f t="shared" si="8"/>
        <v>63.684307882882422</v>
      </c>
      <c r="O125" s="23">
        <f t="shared" si="9"/>
        <v>4973.4644079554992</v>
      </c>
      <c r="P125" s="23">
        <f t="shared" si="13"/>
        <v>2996.7788494766619</v>
      </c>
      <c r="Q125" s="7">
        <f t="shared" si="10"/>
        <v>1913.0012505959548</v>
      </c>
      <c r="R125" s="7">
        <f t="shared" si="11"/>
        <v>589147.59121899994</v>
      </c>
    </row>
    <row r="126" spans="7:18">
      <c r="G126" s="7" t="s">
        <v>82</v>
      </c>
      <c r="H126" s="7">
        <f>-'tabla financiera '!N126</f>
        <v>-4973.4644079554992</v>
      </c>
      <c r="I126" s="40">
        <v>121</v>
      </c>
      <c r="J126" s="40">
        <v>117</v>
      </c>
      <c r="K126" s="23">
        <f t="shared" si="12"/>
        <v>589147.59121899994</v>
      </c>
      <c r="L126" s="7">
        <f t="shared" si="7"/>
        <v>3050.5577941497095</v>
      </c>
      <c r="M126" s="7">
        <f>+'tabla financiera '!M122</f>
        <v>2986.8954216842681</v>
      </c>
      <c r="N126" s="7">
        <f t="shared" si="8"/>
        <v>63.662372465441422</v>
      </c>
      <c r="O126" s="23">
        <f t="shared" si="9"/>
        <v>4973.4644079554992</v>
      </c>
      <c r="P126" s="23">
        <f t="shared" si="13"/>
        <v>2986.8954216842681</v>
      </c>
      <c r="Q126" s="7">
        <f t="shared" si="10"/>
        <v>1922.9066138057897</v>
      </c>
      <c r="R126" s="7">
        <f t="shared" si="11"/>
        <v>587224.68460519414</v>
      </c>
    </row>
    <row r="127" spans="7:18">
      <c r="G127" s="7" t="s">
        <v>82</v>
      </c>
      <c r="H127" s="7">
        <f>-'tabla financiera '!N127</f>
        <v>-4973.4644079554992</v>
      </c>
      <c r="I127" s="40">
        <v>122</v>
      </c>
      <c r="J127" s="40">
        <v>118</v>
      </c>
      <c r="K127" s="23">
        <f t="shared" si="12"/>
        <v>587224.68460519414</v>
      </c>
      <c r="L127" s="7">
        <f t="shared" si="7"/>
        <v>3040.6011417834829</v>
      </c>
      <c r="M127" s="7">
        <f>+'tabla financiera '!M123</f>
        <v>2976.9625767529114</v>
      </c>
      <c r="N127" s="7">
        <f t="shared" si="8"/>
        <v>63.638565030571499</v>
      </c>
      <c r="O127" s="23">
        <f t="shared" si="9"/>
        <v>4973.4644079554992</v>
      </c>
      <c r="P127" s="23">
        <f t="shared" si="13"/>
        <v>2976.9625767529114</v>
      </c>
      <c r="Q127" s="7">
        <f t="shared" si="10"/>
        <v>1932.8632661720162</v>
      </c>
      <c r="R127" s="7">
        <f t="shared" si="11"/>
        <v>585291.82133902214</v>
      </c>
    </row>
    <row r="128" spans="7:18">
      <c r="G128" s="7" t="s">
        <v>82</v>
      </c>
      <c r="H128" s="7">
        <f>-'tabla financiera '!N128</f>
        <v>-4973.4644079554992</v>
      </c>
      <c r="I128" s="40">
        <v>123</v>
      </c>
      <c r="J128" s="40">
        <v>119</v>
      </c>
      <c r="K128" s="23">
        <f t="shared" si="12"/>
        <v>585291.82133902214</v>
      </c>
      <c r="L128" s="7">
        <f t="shared" si="7"/>
        <v>3030.5929346898297</v>
      </c>
      <c r="M128" s="7">
        <f>+'tabla financiera '!M124</f>
        <v>2966.9800675968991</v>
      </c>
      <c r="N128" s="7">
        <f t="shared" si="8"/>
        <v>63.612867092930628</v>
      </c>
      <c r="O128" s="23">
        <f t="shared" si="9"/>
        <v>4973.4644079554992</v>
      </c>
      <c r="P128" s="23">
        <f t="shared" si="13"/>
        <v>2966.9800675968991</v>
      </c>
      <c r="Q128" s="7">
        <f t="shared" si="10"/>
        <v>1942.8714732656695</v>
      </c>
      <c r="R128" s="7">
        <f t="shared" si="11"/>
        <v>583348.94986575644</v>
      </c>
    </row>
    <row r="129" spans="7:18">
      <c r="G129" s="7" t="s">
        <v>82</v>
      </c>
      <c r="H129" s="7">
        <f>-'tabla financiera '!N129</f>
        <v>-4973.4644079554992</v>
      </c>
      <c r="I129" s="40">
        <v>124</v>
      </c>
      <c r="J129" s="40">
        <v>120</v>
      </c>
      <c r="K129" s="23">
        <f t="shared" si="12"/>
        <v>583348.94986575644</v>
      </c>
      <c r="L129" s="7">
        <f t="shared" si="7"/>
        <v>3020.5329059226092</v>
      </c>
      <c r="M129" s="7">
        <f>+'tabla financiera '!M125</f>
        <v>2956.9476458951058</v>
      </c>
      <c r="N129" s="7">
        <f t="shared" si="8"/>
        <v>63.585260027503409</v>
      </c>
      <c r="O129" s="23">
        <f t="shared" si="9"/>
        <v>4973.4644079554992</v>
      </c>
      <c r="P129" s="23">
        <f t="shared" si="13"/>
        <v>2956.9476458951058</v>
      </c>
      <c r="Q129" s="7">
        <f t="shared" si="10"/>
        <v>1952.93150203289</v>
      </c>
      <c r="R129" s="7">
        <f t="shared" si="11"/>
        <v>581396.01836372353</v>
      </c>
    </row>
    <row r="130" spans="7:18">
      <c r="G130" s="7" t="s">
        <v>82</v>
      </c>
      <c r="H130" s="7">
        <f>-'tabla financiera '!N130</f>
        <v>-4973.4644079554992</v>
      </c>
      <c r="I130" s="40">
        <v>125</v>
      </c>
      <c r="J130" s="40">
        <v>121</v>
      </c>
      <c r="K130" s="23">
        <f t="shared" si="12"/>
        <v>581396.01836372353</v>
      </c>
      <c r="L130" s="7">
        <f t="shared" si="7"/>
        <v>3010.4207871534563</v>
      </c>
      <c r="M130" s="7">
        <f>+'tabla financiera '!M126</f>
        <v>2946.8650620848039</v>
      </c>
      <c r="N130" s="7">
        <f t="shared" si="8"/>
        <v>63.555725068652464</v>
      </c>
      <c r="O130" s="23">
        <f t="shared" si="9"/>
        <v>4973.4644079554992</v>
      </c>
      <c r="P130" s="23">
        <f t="shared" si="13"/>
        <v>2946.8650620848039</v>
      </c>
      <c r="Q130" s="7">
        <f t="shared" si="10"/>
        <v>1963.0436208020428</v>
      </c>
      <c r="R130" s="7">
        <f t="shared" si="11"/>
        <v>579432.97474292153</v>
      </c>
    </row>
    <row r="131" spans="7:18">
      <c r="G131" s="7" t="s">
        <v>82</v>
      </c>
      <c r="H131" s="7">
        <f>-'tabla financiera '!N131</f>
        <v>-4973.4644079554992</v>
      </c>
      <c r="I131" s="40">
        <v>126</v>
      </c>
      <c r="J131" s="40">
        <v>122</v>
      </c>
      <c r="K131" s="23">
        <f t="shared" si="12"/>
        <v>579432.97474292153</v>
      </c>
      <c r="L131" s="7">
        <f t="shared" si="7"/>
        <v>3000.2563086646228</v>
      </c>
      <c r="M131" s="7">
        <f>+'tabla financiera '!M127</f>
        <v>2936.7320653554507</v>
      </c>
      <c r="N131" s="7">
        <f t="shared" si="8"/>
        <v>63.524243309172107</v>
      </c>
      <c r="O131" s="23">
        <f t="shared" si="9"/>
        <v>4973.4644079554992</v>
      </c>
      <c r="P131" s="23">
        <f t="shared" si="13"/>
        <v>2936.7320653554507</v>
      </c>
      <c r="Q131" s="7">
        <f t="shared" si="10"/>
        <v>1973.2080992908764</v>
      </c>
      <c r="R131" s="7">
        <f t="shared" si="11"/>
        <v>577459.76664363069</v>
      </c>
    </row>
    <row r="132" spans="7:18">
      <c r="G132" s="7" t="s">
        <v>82</v>
      </c>
      <c r="H132" s="7">
        <f>-'tabla financiera '!N132</f>
        <v>-4973.4644079554992</v>
      </c>
      <c r="I132" s="40">
        <v>127</v>
      </c>
      <c r="J132" s="40">
        <v>123</v>
      </c>
      <c r="K132" s="23">
        <f t="shared" si="12"/>
        <v>577459.76664363069</v>
      </c>
      <c r="L132" s="7">
        <f t="shared" si="7"/>
        <v>2990.0391993417852</v>
      </c>
      <c r="M132" s="7">
        <f>+'tabla financiera '!M128</f>
        <v>2926.5484036424505</v>
      </c>
      <c r="N132" s="7">
        <f t="shared" si="8"/>
        <v>63.49079569933474</v>
      </c>
      <c r="O132" s="23">
        <f t="shared" si="9"/>
        <v>4973.4644079554992</v>
      </c>
      <c r="P132" s="23">
        <f t="shared" si="13"/>
        <v>2926.5484036424505</v>
      </c>
      <c r="Q132" s="7">
        <f t="shared" si="10"/>
        <v>1983.4252086137139</v>
      </c>
      <c r="R132" s="7">
        <f t="shared" si="11"/>
        <v>575476.34143501695</v>
      </c>
    </row>
    <row r="133" spans="7:18">
      <c r="G133" s="7" t="s">
        <v>82</v>
      </c>
      <c r="H133" s="7">
        <f>-'tabla financiera '!N133</f>
        <v>-4973.4644079554992</v>
      </c>
      <c r="I133" s="40">
        <v>128</v>
      </c>
      <c r="J133" s="40">
        <v>124</v>
      </c>
      <c r="K133" s="23">
        <f t="shared" si="12"/>
        <v>575476.34143501695</v>
      </c>
      <c r="L133" s="7">
        <f t="shared" si="7"/>
        <v>2979.769186666811</v>
      </c>
      <c r="M133" s="7">
        <f>+'tabla financiera '!M129</f>
        <v>2916.3138236208856</v>
      </c>
      <c r="N133" s="7">
        <f t="shared" si="8"/>
        <v>63.455363045925424</v>
      </c>
      <c r="O133" s="23">
        <f t="shared" si="9"/>
        <v>4973.4644079554992</v>
      </c>
      <c r="P133" s="23">
        <f t="shared" si="13"/>
        <v>2916.3138236208856</v>
      </c>
      <c r="Q133" s="7">
        <f t="shared" si="10"/>
        <v>1993.6952212886881</v>
      </c>
      <c r="R133" s="7">
        <f t="shared" si="11"/>
        <v>573482.64621372824</v>
      </c>
    </row>
    <row r="134" spans="7:18">
      <c r="G134" s="7" t="s">
        <v>82</v>
      </c>
      <c r="H134" s="7">
        <f>-'tabla financiera '!N134</f>
        <v>-4973.4644079554992</v>
      </c>
      <c r="I134" s="40">
        <v>129</v>
      </c>
      <c r="J134" s="40">
        <v>125</v>
      </c>
      <c r="K134" s="23">
        <f t="shared" si="12"/>
        <v>573482.64621372824</v>
      </c>
      <c r="L134" s="7">
        <f t="shared" si="7"/>
        <v>2969.4459967104922</v>
      </c>
      <c r="M134" s="7">
        <f>+'tabla financiera '!M130</f>
        <v>2906.0280706992121</v>
      </c>
      <c r="N134" s="7">
        <f t="shared" si="8"/>
        <v>63.417926011280088</v>
      </c>
      <c r="O134" s="23">
        <f t="shared" si="9"/>
        <v>4973.4644079554992</v>
      </c>
      <c r="P134" s="23">
        <f t="shared" si="13"/>
        <v>2906.0280706992121</v>
      </c>
      <c r="Q134" s="7">
        <f t="shared" si="10"/>
        <v>2004.018411245007</v>
      </c>
      <c r="R134" s="7">
        <f t="shared" si="11"/>
        <v>571478.62780248327</v>
      </c>
    </row>
    <row r="135" spans="7:18">
      <c r="G135" s="7" t="s">
        <v>82</v>
      </c>
      <c r="H135" s="7">
        <f>-'tabla financiera '!N135</f>
        <v>-4973.4644079554992</v>
      </c>
      <c r="I135" s="40">
        <v>130</v>
      </c>
      <c r="J135" s="40">
        <v>126</v>
      </c>
      <c r="K135" s="23">
        <f t="shared" si="12"/>
        <v>571478.62780248327</v>
      </c>
      <c r="L135" s="7">
        <f t="shared" si="7"/>
        <v>2959.0693541252385</v>
      </c>
      <c r="M135" s="7">
        <f>+'tabla financiera '!M131</f>
        <v>2895.6908890129307</v>
      </c>
      <c r="N135" s="7">
        <f t="shared" si="8"/>
        <v>63.378465112307822</v>
      </c>
      <c r="O135" s="23">
        <f t="shared" si="9"/>
        <v>4973.4644079554992</v>
      </c>
      <c r="P135" s="23">
        <f t="shared" si="13"/>
        <v>2895.6908890129307</v>
      </c>
      <c r="Q135" s="7">
        <f t="shared" si="10"/>
        <v>2014.3950538302606</v>
      </c>
      <c r="R135" s="7">
        <f t="shared" si="11"/>
        <v>569464.23274865304</v>
      </c>
    </row>
    <row r="136" spans="7:18">
      <c r="G136" s="7" t="s">
        <v>82</v>
      </c>
      <c r="H136" s="7">
        <f>-'tabla financiera '!N136</f>
        <v>-4973.4644079554992</v>
      </c>
      <c r="I136" s="40">
        <v>131</v>
      </c>
      <c r="J136" s="40">
        <v>127</v>
      </c>
      <c r="K136" s="23">
        <f t="shared" si="12"/>
        <v>569464.23274865304</v>
      </c>
      <c r="L136" s="7">
        <f t="shared" si="7"/>
        <v>2948.6389821377306</v>
      </c>
      <c r="M136" s="7">
        <f>+'tabla financiera '!M132</f>
        <v>2885.3020214182179</v>
      </c>
      <c r="N136" s="7">
        <f t="shared" si="8"/>
        <v>63.336960719512717</v>
      </c>
      <c r="O136" s="23">
        <f t="shared" si="9"/>
        <v>4973.4644079554992</v>
      </c>
      <c r="P136" s="23">
        <f t="shared" si="13"/>
        <v>2885.3020214182179</v>
      </c>
      <c r="Q136" s="7">
        <f t="shared" si="10"/>
        <v>2024.8254258177685</v>
      </c>
      <c r="R136" s="7">
        <f t="shared" si="11"/>
        <v>567439.40732283529</v>
      </c>
    </row>
    <row r="137" spans="7:18">
      <c r="G137" s="7" t="s">
        <v>82</v>
      </c>
      <c r="H137" s="7">
        <f>-'tabla financiera '!N137</f>
        <v>-4973.4644079554992</v>
      </c>
      <c r="I137" s="40">
        <v>132</v>
      </c>
      <c r="J137" s="40">
        <v>128</v>
      </c>
      <c r="K137" s="23">
        <f t="shared" si="12"/>
        <v>567439.40732283529</v>
      </c>
      <c r="L137" s="7">
        <f t="shared" si="7"/>
        <v>2938.154602541541</v>
      </c>
      <c r="M137" s="7">
        <f>+'tabla financiera '!M133</f>
        <v>2874.8612094855316</v>
      </c>
      <c r="N137" s="7">
        <f t="shared" si="8"/>
        <v>63.293393056009336</v>
      </c>
      <c r="O137" s="23">
        <f t="shared" si="9"/>
        <v>4973.4644079554992</v>
      </c>
      <c r="P137" s="23">
        <f t="shared" si="13"/>
        <v>2874.8612094855316</v>
      </c>
      <c r="Q137" s="7">
        <f t="shared" si="10"/>
        <v>2035.3098054139582</v>
      </c>
      <c r="R137" s="7">
        <f t="shared" si="11"/>
        <v>565404.09751742135</v>
      </c>
    </row>
    <row r="138" spans="7:18">
      <c r="G138" s="7" t="s">
        <v>82</v>
      </c>
      <c r="H138" s="7">
        <f>-'tabla financiera '!N138</f>
        <v>-4973.4644079554992</v>
      </c>
      <c r="I138" s="40">
        <v>133</v>
      </c>
      <c r="J138" s="40">
        <v>129</v>
      </c>
      <c r="K138" s="23">
        <f t="shared" si="12"/>
        <v>565404.09751742135</v>
      </c>
      <c r="L138" s="7">
        <f t="shared" si="7"/>
        <v>2927.6159356897115</v>
      </c>
      <c r="M138" s="7">
        <f>+'tabla financiera '!M134</f>
        <v>2864.3681934931815</v>
      </c>
      <c r="N138" s="7">
        <f t="shared" si="8"/>
        <v>63.247742196529998</v>
      </c>
      <c r="O138" s="23">
        <f t="shared" si="9"/>
        <v>4973.4644079554992</v>
      </c>
      <c r="P138" s="23">
        <f t="shared" si="13"/>
        <v>2864.3681934931815</v>
      </c>
      <c r="Q138" s="7">
        <f t="shared" si="10"/>
        <v>2045.8484722657877</v>
      </c>
      <c r="R138" s="7">
        <f t="shared" si="11"/>
        <v>563358.24904515559</v>
      </c>
    </row>
    <row r="139" spans="7:18">
      <c r="G139" s="7" t="s">
        <v>82</v>
      </c>
      <c r="H139" s="7">
        <f>-'tabla financiera '!N139</f>
        <v>-4973.4644079554992</v>
      </c>
      <c r="I139" s="40">
        <v>134</v>
      </c>
      <c r="J139" s="40">
        <v>130</v>
      </c>
      <c r="K139" s="23">
        <f t="shared" si="12"/>
        <v>563358.24904515559</v>
      </c>
      <c r="L139" s="7">
        <f t="shared" ref="L139:L202" si="14">+K139*H$306</f>
        <v>2917.0227004872954</v>
      </c>
      <c r="M139" s="7">
        <f>+'tabla financiera '!M135</f>
        <v>2853.8227124208702</v>
      </c>
      <c r="N139" s="7">
        <f t="shared" ref="N139:N202" si="15">+L139-M139</f>
        <v>63.199988066425249</v>
      </c>
      <c r="O139" s="23">
        <f t="shared" ref="O139:O202" si="16">-H135</f>
        <v>4973.4644079554992</v>
      </c>
      <c r="P139" s="23">
        <f t="shared" si="13"/>
        <v>2853.8227124208702</v>
      </c>
      <c r="Q139" s="7">
        <f t="shared" ref="Q139:Q202" si="17">+O139-L139</f>
        <v>2056.4417074682037</v>
      </c>
      <c r="R139" s="7">
        <f t="shared" ref="R139:R202" si="18">+K139-Q139</f>
        <v>561301.80733768735</v>
      </c>
    </row>
    <row r="140" spans="7:18">
      <c r="G140" s="7" t="s">
        <v>82</v>
      </c>
      <c r="H140" s="7">
        <f>-'tabla financiera '!N140</f>
        <v>-4973.4644079554992</v>
      </c>
      <c r="I140" s="40">
        <v>135</v>
      </c>
      <c r="J140" s="40">
        <v>131</v>
      </c>
      <c r="K140" s="23">
        <f t="shared" ref="K140:K203" si="19">+R139</f>
        <v>561301.80733768735</v>
      </c>
      <c r="L140" s="7">
        <f t="shared" si="14"/>
        <v>2906.3746143838598</v>
      </c>
      <c r="M140" s="7">
        <f>+'tabla financiera '!M136</f>
        <v>2843.2245039431973</v>
      </c>
      <c r="N140" s="7">
        <f t="shared" si="15"/>
        <v>63.150110440662502</v>
      </c>
      <c r="O140" s="23">
        <f t="shared" si="16"/>
        <v>4973.4644079554992</v>
      </c>
      <c r="P140" s="23">
        <f t="shared" ref="P140:P203" si="20">+M140</f>
        <v>2843.2245039431973</v>
      </c>
      <c r="Q140" s="7">
        <f t="shared" si="17"/>
        <v>2067.0897935716393</v>
      </c>
      <c r="R140" s="7">
        <f t="shared" si="18"/>
        <v>559234.71754411573</v>
      </c>
    </row>
    <row r="141" spans="7:18">
      <c r="G141" s="7" t="s">
        <v>82</v>
      </c>
      <c r="H141" s="7">
        <f>-'tabla financiera '!N141</f>
        <v>-4973.4644079554992</v>
      </c>
      <c r="I141" s="40">
        <v>136</v>
      </c>
      <c r="J141" s="40">
        <v>132</v>
      </c>
      <c r="K141" s="23">
        <f t="shared" si="19"/>
        <v>559234.71754411573</v>
      </c>
      <c r="L141" s="7">
        <f t="shared" si="14"/>
        <v>2895.671393365948</v>
      </c>
      <c r="M141" s="7">
        <f>+'tabla financiera '!M137</f>
        <v>2832.5733044231356</v>
      </c>
      <c r="N141" s="7">
        <f t="shared" si="15"/>
        <v>63.09808894281241</v>
      </c>
      <c r="O141" s="23">
        <f t="shared" si="16"/>
        <v>4973.4644079554992</v>
      </c>
      <c r="P141" s="23">
        <f t="shared" si="20"/>
        <v>2832.5733044231356</v>
      </c>
      <c r="Q141" s="7">
        <f t="shared" si="17"/>
        <v>2077.7930145895511</v>
      </c>
      <c r="R141" s="7">
        <f t="shared" si="18"/>
        <v>557156.92452952615</v>
      </c>
    </row>
    <row r="142" spans="7:18">
      <c r="G142" s="7" t="s">
        <v>82</v>
      </c>
      <c r="H142" s="7">
        <f>-'tabla financiera '!N142</f>
        <v>-4973.4644079554992</v>
      </c>
      <c r="I142" s="40">
        <v>137</v>
      </c>
      <c r="J142" s="40">
        <v>133</v>
      </c>
      <c r="K142" s="23">
        <f t="shared" si="19"/>
        <v>557156.92452952615</v>
      </c>
      <c r="L142" s="7">
        <f t="shared" si="14"/>
        <v>2884.9127519495055</v>
      </c>
      <c r="M142" s="7">
        <f>+'tabla financiera '!M138</f>
        <v>2821.8688489054739</v>
      </c>
      <c r="N142" s="7">
        <f t="shared" si="15"/>
        <v>63.043903044031595</v>
      </c>
      <c r="O142" s="23">
        <f t="shared" si="16"/>
        <v>4973.4644079554992</v>
      </c>
      <c r="P142" s="23">
        <f t="shared" si="20"/>
        <v>2821.8688489054739</v>
      </c>
      <c r="Q142" s="7">
        <f t="shared" si="17"/>
        <v>2088.5516560059937</v>
      </c>
      <c r="R142" s="7">
        <f t="shared" si="18"/>
        <v>555068.37287352013</v>
      </c>
    </row>
    <row r="143" spans="7:18">
      <c r="G143" s="7" t="s">
        <v>82</v>
      </c>
      <c r="H143" s="7">
        <f>-'tabla financiera '!N143</f>
        <v>-4973.4644079554992</v>
      </c>
      <c r="I143" s="40">
        <v>138</v>
      </c>
      <c r="J143" s="40">
        <v>134</v>
      </c>
      <c r="K143" s="23">
        <f t="shared" si="19"/>
        <v>555068.37287352013</v>
      </c>
      <c r="L143" s="7">
        <f t="shared" si="14"/>
        <v>2874.0984031722646</v>
      </c>
      <c r="M143" s="7">
        <f>+'tabla financiera '!M139</f>
        <v>2811.1108711102238</v>
      </c>
      <c r="N143" s="7">
        <f t="shared" si="15"/>
        <v>62.987532062040827</v>
      </c>
      <c r="O143" s="23">
        <f t="shared" si="16"/>
        <v>4973.4644079554992</v>
      </c>
      <c r="P143" s="23">
        <f t="shared" si="20"/>
        <v>2811.1108711102238</v>
      </c>
      <c r="Q143" s="7">
        <f t="shared" si="17"/>
        <v>2099.3660047832345</v>
      </c>
      <c r="R143" s="7">
        <f t="shared" si="18"/>
        <v>552969.00686873693</v>
      </c>
    </row>
    <row r="144" spans="7:18">
      <c r="G144" s="7" t="s">
        <v>82</v>
      </c>
      <c r="H144" s="7">
        <f>-'tabla financiera '!N144</f>
        <v>-4973.4644079554992</v>
      </c>
      <c r="I144" s="40">
        <v>139</v>
      </c>
      <c r="J144" s="40">
        <v>135</v>
      </c>
      <c r="K144" s="23">
        <f t="shared" si="19"/>
        <v>552969.00686873693</v>
      </c>
      <c r="L144" s="7">
        <f t="shared" si="14"/>
        <v>2863.2280585860917</v>
      </c>
      <c r="M144" s="7">
        <f>+'tabla financiera '!M140</f>
        <v>2800.2991034259971</v>
      </c>
      <c r="N144" s="7">
        <f t="shared" si="15"/>
        <v>62.928955160094574</v>
      </c>
      <c r="O144" s="23">
        <f t="shared" si="16"/>
        <v>4973.4644079554992</v>
      </c>
      <c r="P144" s="23">
        <f t="shared" si="20"/>
        <v>2800.2991034259971</v>
      </c>
      <c r="Q144" s="7">
        <f t="shared" si="17"/>
        <v>2110.2363493694074</v>
      </c>
      <c r="R144" s="7">
        <f t="shared" si="18"/>
        <v>550858.77051936754</v>
      </c>
    </row>
    <row r="145" spans="7:18">
      <c r="G145" s="7" t="s">
        <v>82</v>
      </c>
      <c r="H145" s="7">
        <f>-'tabla financiera '!N145</f>
        <v>-4973.4644079554992</v>
      </c>
      <c r="I145" s="40">
        <v>140</v>
      </c>
      <c r="J145" s="40">
        <v>136</v>
      </c>
      <c r="K145" s="23">
        <f t="shared" si="19"/>
        <v>550858.77051936754</v>
      </c>
      <c r="L145" s="7">
        <f t="shared" si="14"/>
        <v>2852.3014282492909</v>
      </c>
      <c r="M145" s="7">
        <f>+'tabla financiera '!M141</f>
        <v>2789.4332769033499</v>
      </c>
      <c r="N145" s="7">
        <f t="shared" si="15"/>
        <v>62.868151345940987</v>
      </c>
      <c r="O145" s="23">
        <f t="shared" si="16"/>
        <v>4973.4644079554992</v>
      </c>
      <c r="P145" s="23">
        <f t="shared" si="20"/>
        <v>2789.4332769033499</v>
      </c>
      <c r="Q145" s="7">
        <f t="shared" si="17"/>
        <v>2121.1629797062083</v>
      </c>
      <c r="R145" s="7">
        <f t="shared" si="18"/>
        <v>548737.60753966135</v>
      </c>
    </row>
    <row r="146" spans="7:18">
      <c r="G146" s="7" t="s">
        <v>82</v>
      </c>
      <c r="H146" s="7">
        <f>-'tabla financiera '!N146</f>
        <v>-4973.4644079554992</v>
      </c>
      <c r="I146" s="40">
        <v>141</v>
      </c>
      <c r="J146" s="40">
        <v>137</v>
      </c>
      <c r="K146" s="23">
        <f t="shared" si="19"/>
        <v>548737.60753966135</v>
      </c>
      <c r="L146" s="7">
        <f t="shared" si="14"/>
        <v>2841.318220718872</v>
      </c>
      <c r="M146" s="7">
        <f>+'tabla financiera '!M142</f>
        <v>2778.5131212480892</v>
      </c>
      <c r="N146" s="7">
        <f t="shared" si="15"/>
        <v>62.805099470782807</v>
      </c>
      <c r="O146" s="23">
        <f t="shared" si="16"/>
        <v>4973.4644079554992</v>
      </c>
      <c r="P146" s="23">
        <f t="shared" si="20"/>
        <v>2778.5131212480892</v>
      </c>
      <c r="Q146" s="7">
        <f t="shared" si="17"/>
        <v>2132.1461872366272</v>
      </c>
      <c r="R146" s="7">
        <f t="shared" si="18"/>
        <v>546605.4613524247</v>
      </c>
    </row>
    <row r="147" spans="7:18">
      <c r="G147" s="7" t="s">
        <v>82</v>
      </c>
      <c r="H147" s="7">
        <f>-'tabla financiera '!N147</f>
        <v>-4973.4644079554992</v>
      </c>
      <c r="I147" s="40">
        <v>142</v>
      </c>
      <c r="J147" s="40">
        <v>138</v>
      </c>
      <c r="K147" s="23">
        <f t="shared" si="19"/>
        <v>546605.4613524247</v>
      </c>
      <c r="L147" s="7">
        <f t="shared" si="14"/>
        <v>2830.2781430427781</v>
      </c>
      <c r="M147" s="7">
        <f>+'tabla financiera '!M143</f>
        <v>2767.5383648145521</v>
      </c>
      <c r="N147" s="7">
        <f t="shared" si="15"/>
        <v>62.739778228225987</v>
      </c>
      <c r="O147" s="23">
        <f t="shared" si="16"/>
        <v>4973.4644079554992</v>
      </c>
      <c r="P147" s="23">
        <f t="shared" si="20"/>
        <v>2767.5383648145521</v>
      </c>
      <c r="Q147" s="7">
        <f t="shared" si="17"/>
        <v>2143.1862649127211</v>
      </c>
      <c r="R147" s="7">
        <f t="shared" si="18"/>
        <v>544462.27508751198</v>
      </c>
    </row>
    <row r="148" spans="7:18">
      <c r="G148" s="7" t="s">
        <v>82</v>
      </c>
      <c r="H148" s="7">
        <f>-'tabla financiera '!N148</f>
        <v>-4973.4644079554992</v>
      </c>
      <c r="I148" s="40">
        <v>143</v>
      </c>
      <c r="J148" s="40">
        <v>139</v>
      </c>
      <c r="K148" s="23">
        <f t="shared" si="19"/>
        <v>544462.27508751198</v>
      </c>
      <c r="L148" s="7">
        <f t="shared" si="14"/>
        <v>2819.1809007520706</v>
      </c>
      <c r="M148" s="7">
        <f>+'tabla financiera '!M144</f>
        <v>2756.5087345988472</v>
      </c>
      <c r="N148" s="7">
        <f t="shared" si="15"/>
        <v>62.672166153223316</v>
      </c>
      <c r="O148" s="23">
        <f t="shared" si="16"/>
        <v>4973.4644079554992</v>
      </c>
      <c r="P148" s="23">
        <f t="shared" si="20"/>
        <v>2756.5087345988472</v>
      </c>
      <c r="Q148" s="7">
        <f t="shared" si="17"/>
        <v>2154.2835072034286</v>
      </c>
      <c r="R148" s="7">
        <f t="shared" si="18"/>
        <v>542307.99158030853</v>
      </c>
    </row>
    <row r="149" spans="7:18">
      <c r="G149" s="7" t="s">
        <v>82</v>
      </c>
      <c r="H149" s="7">
        <f>-'tabla financiera '!N149</f>
        <v>-4973.4644079554992</v>
      </c>
      <c r="I149" s="40">
        <v>144</v>
      </c>
      <c r="J149" s="40">
        <v>140</v>
      </c>
      <c r="K149" s="23">
        <f t="shared" si="19"/>
        <v>542307.99158030853</v>
      </c>
      <c r="L149" s="7">
        <f t="shared" si="14"/>
        <v>2808.0261978530734</v>
      </c>
      <c r="M149" s="7">
        <f>+'tabla financiera '!M145</f>
        <v>2745.423956232064</v>
      </c>
      <c r="N149" s="7">
        <f t="shared" si="15"/>
        <v>62.602241621009398</v>
      </c>
      <c r="O149" s="23">
        <f t="shared" si="16"/>
        <v>4973.4644079554992</v>
      </c>
      <c r="P149" s="23">
        <f t="shared" si="20"/>
        <v>2745.423956232064</v>
      </c>
      <c r="Q149" s="7">
        <f t="shared" si="17"/>
        <v>2165.4382101024257</v>
      </c>
      <c r="R149" s="7">
        <f t="shared" si="18"/>
        <v>540142.55337020615</v>
      </c>
    </row>
    <row r="150" spans="7:18">
      <c r="G150" s="7" t="s">
        <v>82</v>
      </c>
      <c r="H150" s="7">
        <f>-'tabla financiera '!N150</f>
        <v>-4973.4644079554992</v>
      </c>
      <c r="I150" s="40">
        <v>145</v>
      </c>
      <c r="J150" s="40">
        <v>141</v>
      </c>
      <c r="K150" s="23">
        <f t="shared" si="19"/>
        <v>540142.55337020615</v>
      </c>
      <c r="L150" s="7">
        <f t="shared" si="14"/>
        <v>2796.8137368194816</v>
      </c>
      <c r="M150" s="7">
        <f>+'tabla financiera '!M146</f>
        <v>2734.2837539734469</v>
      </c>
      <c r="N150" s="7">
        <f t="shared" si="15"/>
        <v>62.529982846034727</v>
      </c>
      <c r="O150" s="23">
        <f t="shared" si="16"/>
        <v>4973.4644079554992</v>
      </c>
      <c r="P150" s="23">
        <f t="shared" si="20"/>
        <v>2734.2837539734469</v>
      </c>
      <c r="Q150" s="7">
        <f t="shared" si="17"/>
        <v>2176.6506711360175</v>
      </c>
      <c r="R150" s="7">
        <f t="shared" si="18"/>
        <v>537965.90269907017</v>
      </c>
    </row>
    <row r="151" spans="7:18">
      <c r="G151" s="7" t="s">
        <v>82</v>
      </c>
      <c r="H151" s="7">
        <f>-'tabla financiera '!N151</f>
        <v>-4973.4644079554992</v>
      </c>
      <c r="I151" s="40">
        <v>146</v>
      </c>
      <c r="J151" s="40">
        <v>142</v>
      </c>
      <c r="K151" s="23">
        <f t="shared" si="19"/>
        <v>537965.90269907017</v>
      </c>
      <c r="L151" s="7">
        <f t="shared" si="14"/>
        <v>2785.5432185844224</v>
      </c>
      <c r="M151" s="7">
        <f>+'tabla financiera '!M147</f>
        <v>2723.0878507035368</v>
      </c>
      <c r="N151" s="7">
        <f t="shared" si="15"/>
        <v>62.45536788088566</v>
      </c>
      <c r="O151" s="23">
        <f t="shared" si="16"/>
        <v>4973.4644079554992</v>
      </c>
      <c r="P151" s="23">
        <f t="shared" si="20"/>
        <v>2723.0878507035368</v>
      </c>
      <c r="Q151" s="7">
        <f t="shared" si="17"/>
        <v>2187.9211893710767</v>
      </c>
      <c r="R151" s="7">
        <f t="shared" si="18"/>
        <v>535777.98150969914</v>
      </c>
    </row>
    <row r="152" spans="7:18">
      <c r="G152" s="7" t="s">
        <v>82</v>
      </c>
      <c r="H152" s="7">
        <f>-'tabla financiera '!N152</f>
        <v>-4973.4644079554992</v>
      </c>
      <c r="I152" s="40">
        <v>147</v>
      </c>
      <c r="J152" s="40">
        <v>143</v>
      </c>
      <c r="K152" s="23">
        <f t="shared" si="19"/>
        <v>535777.98150969914</v>
      </c>
      <c r="L152" s="7">
        <f t="shared" si="14"/>
        <v>2774.2143425324789</v>
      </c>
      <c r="M152" s="7">
        <f>+'tabla financiera '!M148</f>
        <v>2711.8359679172772</v>
      </c>
      <c r="N152" s="7">
        <f t="shared" si="15"/>
        <v>62.378374615201665</v>
      </c>
      <c r="O152" s="23">
        <f t="shared" si="16"/>
        <v>4973.4644079554992</v>
      </c>
      <c r="P152" s="23">
        <f t="shared" si="20"/>
        <v>2711.8359679172772</v>
      </c>
      <c r="Q152" s="7">
        <f t="shared" si="17"/>
        <v>2199.2500654230203</v>
      </c>
      <c r="R152" s="7">
        <f t="shared" si="18"/>
        <v>533578.73144427617</v>
      </c>
    </row>
    <row r="153" spans="7:18">
      <c r="G153" s="7" t="s">
        <v>82</v>
      </c>
      <c r="H153" s="7">
        <f>-'tabla financiera '!N153</f>
        <v>-4973.4644079554992</v>
      </c>
      <c r="I153" s="40">
        <v>148</v>
      </c>
      <c r="J153" s="40">
        <v>144</v>
      </c>
      <c r="K153" s="23">
        <f t="shared" si="19"/>
        <v>533578.73144427617</v>
      </c>
      <c r="L153" s="7">
        <f t="shared" si="14"/>
        <v>2762.8268064916733</v>
      </c>
      <c r="M153" s="7">
        <f>+'tabla financiera '!M149</f>
        <v>2700.5278257170862</v>
      </c>
      <c r="N153" s="7">
        <f t="shared" si="15"/>
        <v>62.298980774587108</v>
      </c>
      <c r="O153" s="23">
        <f t="shared" si="16"/>
        <v>4973.4644079554992</v>
      </c>
      <c r="P153" s="23">
        <f t="shared" si="20"/>
        <v>2700.5278257170862</v>
      </c>
      <c r="Q153" s="7">
        <f t="shared" si="17"/>
        <v>2210.6376014638258</v>
      </c>
      <c r="R153" s="7">
        <f t="shared" si="18"/>
        <v>531368.09384281235</v>
      </c>
    </row>
    <row r="154" spans="7:18">
      <c r="G154" s="7" t="s">
        <v>82</v>
      </c>
      <c r="H154" s="7">
        <f>-'tabla financiera '!N154</f>
        <v>-4973.4644079554992</v>
      </c>
      <c r="I154" s="40">
        <v>149</v>
      </c>
      <c r="J154" s="40">
        <v>145</v>
      </c>
      <c r="K154" s="23">
        <f t="shared" si="19"/>
        <v>531368.09384281235</v>
      </c>
      <c r="L154" s="7">
        <f t="shared" si="14"/>
        <v>2751.3803067254048</v>
      </c>
      <c r="M154" s="7">
        <f>+'tabla financiera '!M150</f>
        <v>2689.163142805894</v>
      </c>
      <c r="N154" s="7">
        <f t="shared" si="15"/>
        <v>62.217163919510767</v>
      </c>
      <c r="O154" s="23">
        <f t="shared" si="16"/>
        <v>4973.4644079554992</v>
      </c>
      <c r="P154" s="23">
        <f t="shared" si="20"/>
        <v>2689.163142805894</v>
      </c>
      <c r="Q154" s="7">
        <f t="shared" si="17"/>
        <v>2222.0841012300943</v>
      </c>
      <c r="R154" s="7">
        <f t="shared" si="18"/>
        <v>529146.00974158221</v>
      </c>
    </row>
    <row r="155" spans="7:18">
      <c r="G155" s="7" t="s">
        <v>82</v>
      </c>
      <c r="H155" s="7">
        <f>-'tabla financiera '!N155</f>
        <v>-4973.4644079554992</v>
      </c>
      <c r="I155" s="40">
        <v>150</v>
      </c>
      <c r="J155" s="40">
        <v>146</v>
      </c>
      <c r="K155" s="23">
        <f t="shared" si="19"/>
        <v>529146.00974158221</v>
      </c>
      <c r="L155" s="7">
        <f t="shared" si="14"/>
        <v>2739.8745379243505</v>
      </c>
      <c r="M155" s="7">
        <f>+'tabla financiera '!M151</f>
        <v>2677.7416364801461</v>
      </c>
      <c r="N155" s="7">
        <f t="shared" si="15"/>
        <v>62.132901444204435</v>
      </c>
      <c r="O155" s="23">
        <f t="shared" si="16"/>
        <v>4973.4644079554992</v>
      </c>
      <c r="P155" s="23">
        <f t="shared" si="20"/>
        <v>2677.7416364801461</v>
      </c>
      <c r="Q155" s="7">
        <f t="shared" si="17"/>
        <v>2233.5898700311486</v>
      </c>
      <c r="R155" s="7">
        <f t="shared" si="18"/>
        <v>526912.4198715511</v>
      </c>
    </row>
    <row r="156" spans="7:18">
      <c r="G156" s="7" t="s">
        <v>82</v>
      </c>
      <c r="H156" s="7">
        <f>-'tabla financiera '!N156</f>
        <v>-4973.4644079554992</v>
      </c>
      <c r="I156" s="40">
        <v>151</v>
      </c>
      <c r="J156" s="40">
        <v>147</v>
      </c>
      <c r="K156" s="23">
        <f t="shared" si="19"/>
        <v>526912.4198715511</v>
      </c>
      <c r="L156" s="7">
        <f t="shared" si="14"/>
        <v>2728.3091931983217</v>
      </c>
      <c r="M156" s="7">
        <f>+'tabla financiera '!M152</f>
        <v>2666.2630226227693</v>
      </c>
      <c r="N156" s="7">
        <f t="shared" si="15"/>
        <v>62.046170575552424</v>
      </c>
      <c r="O156" s="23">
        <f t="shared" si="16"/>
        <v>4973.4644079554992</v>
      </c>
      <c r="P156" s="23">
        <f t="shared" si="20"/>
        <v>2666.2630226227693</v>
      </c>
      <c r="Q156" s="7">
        <f t="shared" si="17"/>
        <v>2245.1552147571774</v>
      </c>
      <c r="R156" s="7">
        <f t="shared" si="18"/>
        <v>524667.26465679391</v>
      </c>
    </row>
    <row r="157" spans="7:18">
      <c r="G157" s="7" t="s">
        <v>82</v>
      </c>
      <c r="H157" s="7">
        <f>-'tabla financiera '!N157</f>
        <v>-4973.4644079554992</v>
      </c>
      <c r="I157" s="40">
        <v>152</v>
      </c>
      <c r="J157" s="40">
        <v>148</v>
      </c>
      <c r="K157" s="23">
        <f t="shared" si="19"/>
        <v>524667.26465679391</v>
      </c>
      <c r="L157" s="7">
        <f t="shared" si="14"/>
        <v>2716.683964068076</v>
      </c>
      <c r="M157" s="7">
        <f>+'tabla financiera '!M153</f>
        <v>2654.7270156961058</v>
      </c>
      <c r="N157" s="7">
        <f t="shared" si="15"/>
        <v>61.956948371970157</v>
      </c>
      <c r="O157" s="23">
        <f t="shared" si="16"/>
        <v>4973.4644079554992</v>
      </c>
      <c r="P157" s="23">
        <f t="shared" si="20"/>
        <v>2654.7270156961058</v>
      </c>
      <c r="Q157" s="7">
        <f t="shared" si="17"/>
        <v>2256.7804438874232</v>
      </c>
      <c r="R157" s="7">
        <f t="shared" si="18"/>
        <v>522410.48421290651</v>
      </c>
    </row>
    <row r="158" spans="7:18">
      <c r="G158" s="7" t="s">
        <v>82</v>
      </c>
      <c r="H158" s="7">
        <f>-'tabla financiera '!N158</f>
        <v>-4973.4644079554992</v>
      </c>
      <c r="I158" s="40">
        <v>153</v>
      </c>
      <c r="J158" s="40">
        <v>149</v>
      </c>
      <c r="K158" s="23">
        <f t="shared" si="19"/>
        <v>522410.48421290651</v>
      </c>
      <c r="L158" s="7">
        <f t="shared" si="14"/>
        <v>2704.9985404570907</v>
      </c>
      <c r="M158" s="7">
        <f>+'tabla financiera '!M154</f>
        <v>2643.1333287348089</v>
      </c>
      <c r="N158" s="7">
        <f t="shared" si="15"/>
        <v>61.865211722281856</v>
      </c>
      <c r="O158" s="23">
        <f t="shared" si="16"/>
        <v>4973.4644079554992</v>
      </c>
      <c r="P158" s="23">
        <f t="shared" si="20"/>
        <v>2643.1333287348089</v>
      </c>
      <c r="Q158" s="7">
        <f t="shared" si="17"/>
        <v>2268.4658674984084</v>
      </c>
      <c r="R158" s="7">
        <f t="shared" si="18"/>
        <v>520142.01834540808</v>
      </c>
    </row>
    <row r="159" spans="7:18">
      <c r="G159" s="7" t="s">
        <v>82</v>
      </c>
      <c r="H159" s="7">
        <f>-'tabla financiera '!N159</f>
        <v>-4973.4644079554992</v>
      </c>
      <c r="I159" s="40">
        <v>154</v>
      </c>
      <c r="J159" s="40">
        <v>150</v>
      </c>
      <c r="K159" s="23">
        <f t="shared" si="19"/>
        <v>520142.01834540808</v>
      </c>
      <c r="L159" s="7">
        <f t="shared" si="14"/>
        <v>2693.2526106832943</v>
      </c>
      <c r="M159" s="7">
        <f>+'tabla financiera '!M155</f>
        <v>2631.4816733387056</v>
      </c>
      <c r="N159" s="7">
        <f t="shared" si="15"/>
        <v>61.770937344588674</v>
      </c>
      <c r="O159" s="23">
        <f t="shared" si="16"/>
        <v>4973.4644079554992</v>
      </c>
      <c r="P159" s="23">
        <f t="shared" si="20"/>
        <v>2631.4816733387056</v>
      </c>
      <c r="Q159" s="7">
        <f t="shared" si="17"/>
        <v>2280.2117972722049</v>
      </c>
      <c r="R159" s="7">
        <f t="shared" si="18"/>
        <v>517861.80654813588</v>
      </c>
    </row>
    <row r="160" spans="7:18">
      <c r="G160" s="7" t="s">
        <v>82</v>
      </c>
      <c r="H160" s="7">
        <f>-'tabla financiera '!N160</f>
        <v>-4973.4644079554992</v>
      </c>
      <c r="I160" s="40">
        <v>155</v>
      </c>
      <c r="J160" s="40">
        <v>151</v>
      </c>
      <c r="K160" s="23">
        <f t="shared" si="19"/>
        <v>517861.80654813588</v>
      </c>
      <c r="L160" s="7">
        <f t="shared" si="14"/>
        <v>2681.4458614507489</v>
      </c>
      <c r="M160" s="7">
        <f>+'tabla financiera '!M156</f>
        <v>2619.7717596656216</v>
      </c>
      <c r="N160" s="7">
        <f t="shared" si="15"/>
        <v>61.674101785127277</v>
      </c>
      <c r="O160" s="23">
        <f t="shared" si="16"/>
        <v>4973.4644079554992</v>
      </c>
      <c r="P160" s="23">
        <f t="shared" si="20"/>
        <v>2619.7717596656216</v>
      </c>
      <c r="Q160" s="7">
        <f t="shared" si="17"/>
        <v>2292.0185465047502</v>
      </c>
      <c r="R160" s="7">
        <f t="shared" si="18"/>
        <v>515569.78800163115</v>
      </c>
    </row>
    <row r="161" spans="7:18">
      <c r="G161" s="7" t="s">
        <v>82</v>
      </c>
      <c r="H161" s="7">
        <f>-'tabla financiera '!N161</f>
        <v>-4973.4644079554992</v>
      </c>
      <c r="I161" s="40">
        <v>156</v>
      </c>
      <c r="J161" s="40">
        <v>152</v>
      </c>
      <c r="K161" s="23">
        <f t="shared" si="19"/>
        <v>515569.78800163115</v>
      </c>
      <c r="L161" s="7">
        <f t="shared" si="14"/>
        <v>2669.5779778412975</v>
      </c>
      <c r="M161" s="7">
        <f>+'tabla financiera '!M157</f>
        <v>2608.0032964241723</v>
      </c>
      <c r="N161" s="7">
        <f t="shared" si="15"/>
        <v>61.574681417125248</v>
      </c>
      <c r="O161" s="23">
        <f t="shared" si="16"/>
        <v>4973.4644079554992</v>
      </c>
      <c r="P161" s="23">
        <f t="shared" si="20"/>
        <v>2608.0032964241723</v>
      </c>
      <c r="Q161" s="7">
        <f t="shared" si="17"/>
        <v>2303.8864301142016</v>
      </c>
      <c r="R161" s="7">
        <f t="shared" si="18"/>
        <v>513265.90157151694</v>
      </c>
    </row>
    <row r="162" spans="7:18">
      <c r="G162" s="7" t="s">
        <v>82</v>
      </c>
      <c r="H162" s="7">
        <f>-'tabla financiera '!N162</f>
        <v>-4973.4644079554992</v>
      </c>
      <c r="I162" s="40">
        <v>157</v>
      </c>
      <c r="J162" s="40">
        <v>153</v>
      </c>
      <c r="K162" s="23">
        <f t="shared" si="19"/>
        <v>513265.90157151694</v>
      </c>
      <c r="L162" s="7">
        <f t="shared" si="14"/>
        <v>2657.6486433061623</v>
      </c>
      <c r="M162" s="7">
        <f>+'tabla financiera '!M158</f>
        <v>2596.1759908665153</v>
      </c>
      <c r="N162" s="7">
        <f t="shared" si="15"/>
        <v>61.472652439646936</v>
      </c>
      <c r="O162" s="23">
        <f t="shared" si="16"/>
        <v>4973.4644079554992</v>
      </c>
      <c r="P162" s="23">
        <f t="shared" si="20"/>
        <v>2596.1759908665153</v>
      </c>
      <c r="Q162" s="7">
        <f t="shared" si="17"/>
        <v>2315.8157646493369</v>
      </c>
      <c r="R162" s="7">
        <f t="shared" si="18"/>
        <v>510950.08580686757</v>
      </c>
    </row>
    <row r="163" spans="7:18">
      <c r="G163" s="7" t="s">
        <v>82</v>
      </c>
      <c r="H163" s="7">
        <f>-'tabla financiera '!N163</f>
        <v>-4973.4644079554992</v>
      </c>
      <c r="I163" s="40">
        <v>158</v>
      </c>
      <c r="J163" s="40">
        <v>154</v>
      </c>
      <c r="K163" s="23">
        <f t="shared" si="19"/>
        <v>510950.08580686757</v>
      </c>
      <c r="L163" s="7">
        <f t="shared" si="14"/>
        <v>2645.6575396575013</v>
      </c>
      <c r="M163" s="7">
        <f>+'tabla financiera '!M159</f>
        <v>2584.2895487810706</v>
      </c>
      <c r="N163" s="7">
        <f t="shared" si="15"/>
        <v>61.367990876430667</v>
      </c>
      <c r="O163" s="23">
        <f t="shared" si="16"/>
        <v>4973.4644079554992</v>
      </c>
      <c r="P163" s="23">
        <f t="shared" si="20"/>
        <v>2584.2895487810706</v>
      </c>
      <c r="Q163" s="7">
        <f t="shared" si="17"/>
        <v>2327.8068682979979</v>
      </c>
      <c r="R163" s="7">
        <f t="shared" si="18"/>
        <v>508622.27893856959</v>
      </c>
    </row>
    <row r="164" spans="7:18">
      <c r="G164" s="7" t="s">
        <v>82</v>
      </c>
      <c r="H164" s="7">
        <f>-'tabla financiera '!N164</f>
        <v>-4973.4644079554992</v>
      </c>
      <c r="I164" s="40">
        <v>159</v>
      </c>
      <c r="J164" s="40">
        <v>155</v>
      </c>
      <c r="K164" s="23">
        <f t="shared" si="19"/>
        <v>508622.27893856959</v>
      </c>
      <c r="L164" s="7">
        <f t="shared" si="14"/>
        <v>2633.6043470599234</v>
      </c>
      <c r="M164" s="7">
        <f>+'tabla financiera '!M160</f>
        <v>2572.3436744851988</v>
      </c>
      <c r="N164" s="7">
        <f t="shared" si="15"/>
        <v>61.260672574724595</v>
      </c>
      <c r="O164" s="23">
        <f t="shared" si="16"/>
        <v>4973.4644079554992</v>
      </c>
      <c r="P164" s="23">
        <f t="shared" si="20"/>
        <v>2572.3436744851988</v>
      </c>
      <c r="Q164" s="7">
        <f t="shared" si="17"/>
        <v>2339.8600608955758</v>
      </c>
      <c r="R164" s="7">
        <f t="shared" si="18"/>
        <v>506282.41887767403</v>
      </c>
    </row>
    <row r="165" spans="7:18">
      <c r="G165" s="7" t="s">
        <v>82</v>
      </c>
      <c r="H165" s="7">
        <f>-'tabla financiera '!N165</f>
        <v>-4973.4644079554992</v>
      </c>
      <c r="I165" s="40">
        <v>160</v>
      </c>
      <c r="J165" s="40">
        <v>156</v>
      </c>
      <c r="K165" s="23">
        <f t="shared" si="19"/>
        <v>506282.41887767403</v>
      </c>
      <c r="L165" s="7">
        <f t="shared" si="14"/>
        <v>2621.4887440219554</v>
      </c>
      <c r="M165" s="7">
        <f>+'tabla financiera '!M161</f>
        <v>2560.338070817847</v>
      </c>
      <c r="N165" s="7">
        <f t="shared" si="15"/>
        <v>61.150673204108443</v>
      </c>
      <c r="O165" s="23">
        <f t="shared" si="16"/>
        <v>4973.4644079554992</v>
      </c>
      <c r="P165" s="23">
        <f t="shared" si="20"/>
        <v>2560.338070817847</v>
      </c>
      <c r="Q165" s="7">
        <f t="shared" si="17"/>
        <v>2351.9756639335437</v>
      </c>
      <c r="R165" s="7">
        <f t="shared" si="18"/>
        <v>503930.44321374048</v>
      </c>
    </row>
    <row r="166" spans="7:18">
      <c r="G166" s="7" t="s">
        <v>82</v>
      </c>
      <c r="H166" s="7">
        <f>-'tabla financiera '!N166</f>
        <v>-4973.4644079554992</v>
      </c>
      <c r="I166" s="40">
        <v>161</v>
      </c>
      <c r="J166" s="40">
        <v>157</v>
      </c>
      <c r="K166" s="23">
        <f t="shared" si="19"/>
        <v>503930.44321374048</v>
      </c>
      <c r="L166" s="7">
        <f t="shared" si="14"/>
        <v>2609.310407387467</v>
      </c>
      <c r="M166" s="7">
        <f>+'tabla financiera '!M162</f>
        <v>2548.272439132159</v>
      </c>
      <c r="N166" s="7">
        <f t="shared" si="15"/>
        <v>61.037968255307987</v>
      </c>
      <c r="O166" s="23">
        <f t="shared" si="16"/>
        <v>4973.4644079554992</v>
      </c>
      <c r="P166" s="23">
        <f t="shared" si="20"/>
        <v>2548.272439132159</v>
      </c>
      <c r="Q166" s="7">
        <f t="shared" si="17"/>
        <v>2364.1540005680322</v>
      </c>
      <c r="R166" s="7">
        <f t="shared" si="18"/>
        <v>501566.28921317245</v>
      </c>
    </row>
    <row r="167" spans="7:18">
      <c r="G167" s="7" t="s">
        <v>82</v>
      </c>
      <c r="H167" s="7">
        <f>-'tabla financiera '!N167</f>
        <v>-4973.4644079554992</v>
      </c>
      <c r="I167" s="40">
        <v>162</v>
      </c>
      <c r="J167" s="40">
        <v>158</v>
      </c>
      <c r="K167" s="23">
        <f t="shared" si="19"/>
        <v>501566.28921317245</v>
      </c>
      <c r="L167" s="7">
        <f t="shared" si="14"/>
        <v>2597.0690123270529</v>
      </c>
      <c r="M167" s="7">
        <f>+'tabla financiera '!M163</f>
        <v>2536.1464792880424</v>
      </c>
      <c r="N167" s="7">
        <f t="shared" si="15"/>
        <v>60.922533039010432</v>
      </c>
      <c r="O167" s="23">
        <f t="shared" si="16"/>
        <v>4973.4644079554992</v>
      </c>
      <c r="P167" s="23">
        <f t="shared" si="20"/>
        <v>2536.1464792880424</v>
      </c>
      <c r="Q167" s="7">
        <f t="shared" si="17"/>
        <v>2376.3953956284463</v>
      </c>
      <c r="R167" s="7">
        <f t="shared" si="18"/>
        <v>499189.89381754398</v>
      </c>
    </row>
    <row r="168" spans="7:18">
      <c r="G168" s="7" t="s">
        <v>82</v>
      </c>
      <c r="H168" s="7">
        <f>-'tabla financiera '!N168</f>
        <v>-4973.4644079554992</v>
      </c>
      <c r="I168" s="40">
        <v>163</v>
      </c>
      <c r="J168" s="40">
        <v>159</v>
      </c>
      <c r="K168" s="23">
        <f t="shared" si="19"/>
        <v>499189.89381754398</v>
      </c>
      <c r="L168" s="7">
        <f t="shared" si="14"/>
        <v>2584.764232329368</v>
      </c>
      <c r="M168" s="7">
        <f>+'tabla financiera '!M164</f>
        <v>2523.9598896447051</v>
      </c>
      <c r="N168" s="7">
        <f t="shared" si="15"/>
        <v>60.80434268466297</v>
      </c>
      <c r="O168" s="23">
        <f t="shared" si="16"/>
        <v>4973.4644079554992</v>
      </c>
      <c r="P168" s="23">
        <f t="shared" si="20"/>
        <v>2523.9598896447051</v>
      </c>
      <c r="Q168" s="7">
        <f t="shared" si="17"/>
        <v>2388.7001756261311</v>
      </c>
      <c r="R168" s="7">
        <f t="shared" si="18"/>
        <v>496801.19364191784</v>
      </c>
    </row>
    <row r="169" spans="7:18">
      <c r="G169" s="7" t="s">
        <v>82</v>
      </c>
      <c r="H169" s="7">
        <f>-'tabla financiera '!N169</f>
        <v>-4973.4644079554992</v>
      </c>
      <c r="I169" s="40">
        <v>164</v>
      </c>
      <c r="J169" s="40">
        <v>160</v>
      </c>
      <c r="K169" s="23">
        <f t="shared" si="19"/>
        <v>496801.19364191784</v>
      </c>
      <c r="L169" s="7">
        <f t="shared" si="14"/>
        <v>2572.3957391924173</v>
      </c>
      <c r="M169" s="7">
        <f>+'tabla financiera '!M165</f>
        <v>2511.712367053151</v>
      </c>
      <c r="N169" s="7">
        <f t="shared" si="15"/>
        <v>60.683372139266339</v>
      </c>
      <c r="O169" s="23">
        <f t="shared" si="16"/>
        <v>4973.4644079554992</v>
      </c>
      <c r="P169" s="23">
        <f t="shared" si="20"/>
        <v>2511.712367053151</v>
      </c>
      <c r="Q169" s="7">
        <f t="shared" si="17"/>
        <v>2401.0686687630819</v>
      </c>
      <c r="R169" s="7">
        <f t="shared" si="18"/>
        <v>494400.12497315474</v>
      </c>
    </row>
    <row r="170" spans="7:18">
      <c r="G170" s="7" t="s">
        <v>82</v>
      </c>
      <c r="H170" s="7">
        <f>-'tabla financiera '!N170</f>
        <v>-4973.4644079554992</v>
      </c>
      <c r="I170" s="40">
        <v>165</v>
      </c>
      <c r="J170" s="40">
        <v>161</v>
      </c>
      <c r="K170" s="23">
        <f t="shared" si="19"/>
        <v>494400.12497315474</v>
      </c>
      <c r="L170" s="7">
        <f t="shared" si="14"/>
        <v>2559.9632030148041</v>
      </c>
      <c r="M170" s="7">
        <f>+'tabla financiera '!M166</f>
        <v>2499.4036068486394</v>
      </c>
      <c r="N170" s="7">
        <f t="shared" si="15"/>
        <v>60.559596166164738</v>
      </c>
      <c r="O170" s="23">
        <f t="shared" si="16"/>
        <v>4973.4644079554992</v>
      </c>
      <c r="P170" s="23">
        <f t="shared" si="20"/>
        <v>2499.4036068486394</v>
      </c>
      <c r="Q170" s="7">
        <f t="shared" si="17"/>
        <v>2413.5012049406951</v>
      </c>
      <c r="R170" s="7">
        <f t="shared" si="18"/>
        <v>491986.62376821402</v>
      </c>
    </row>
    <row r="171" spans="7:18">
      <c r="G171" s="7" t="s">
        <v>82</v>
      </c>
      <c r="H171" s="7">
        <f>-'tabla financiera '!N171</f>
        <v>-4973.4644079554992</v>
      </c>
      <c r="I171" s="40">
        <v>166</v>
      </c>
      <c r="J171" s="40">
        <v>162</v>
      </c>
      <c r="K171" s="23">
        <f t="shared" si="19"/>
        <v>491986.62376821402</v>
      </c>
      <c r="L171" s="7">
        <f t="shared" si="14"/>
        <v>2547.4662921869285</v>
      </c>
      <c r="M171" s="7">
        <f>+'tabla financiera '!M167</f>
        <v>2487.033302843105</v>
      </c>
      <c r="N171" s="7">
        <f t="shared" si="15"/>
        <v>60.432989343823465</v>
      </c>
      <c r="O171" s="23">
        <f t="shared" si="16"/>
        <v>4973.4644079554992</v>
      </c>
      <c r="P171" s="23">
        <f t="shared" si="20"/>
        <v>2487.033302843105</v>
      </c>
      <c r="Q171" s="7">
        <f t="shared" si="17"/>
        <v>2425.9981157685706</v>
      </c>
      <c r="R171" s="7">
        <f t="shared" si="18"/>
        <v>489560.62565244542</v>
      </c>
    </row>
    <row r="172" spans="7:18">
      <c r="G172" s="7" t="s">
        <v>82</v>
      </c>
      <c r="H172" s="7">
        <f>-'tabla financiera '!N172</f>
        <v>-4973.4644079554992</v>
      </c>
      <c r="I172" s="40">
        <v>167</v>
      </c>
      <c r="J172" s="40">
        <v>163</v>
      </c>
      <c r="K172" s="23">
        <f t="shared" si="19"/>
        <v>489560.62565244542</v>
      </c>
      <c r="L172" s="7">
        <f t="shared" si="14"/>
        <v>2534.9046733821433</v>
      </c>
      <c r="M172" s="7">
        <f>+'tabla financiera '!M168</f>
        <v>2474.6011473175431</v>
      </c>
      <c r="N172" s="7">
        <f t="shared" si="15"/>
        <v>60.303526064600192</v>
      </c>
      <c r="O172" s="23">
        <f t="shared" si="16"/>
        <v>4973.4644079554992</v>
      </c>
      <c r="P172" s="23">
        <f t="shared" si="20"/>
        <v>2474.6011473175431</v>
      </c>
      <c r="Q172" s="7">
        <f t="shared" si="17"/>
        <v>2438.5597345733559</v>
      </c>
      <c r="R172" s="7">
        <f t="shared" si="18"/>
        <v>487122.06591787207</v>
      </c>
    </row>
    <row r="173" spans="7:18">
      <c r="G173" s="7" t="s">
        <v>82</v>
      </c>
      <c r="H173" s="7">
        <f>-'tabla financiera '!N173</f>
        <v>-4973.4644079554992</v>
      </c>
      <c r="I173" s="40">
        <v>168</v>
      </c>
      <c r="J173" s="40">
        <v>164</v>
      </c>
      <c r="K173" s="23">
        <f t="shared" si="19"/>
        <v>487122.06591787207</v>
      </c>
      <c r="L173" s="7">
        <f t="shared" si="14"/>
        <v>2522.2780115478645</v>
      </c>
      <c r="M173" s="7">
        <f>+'tabla financiera '!M169</f>
        <v>2462.1068310143532</v>
      </c>
      <c r="N173" s="7">
        <f t="shared" si="15"/>
        <v>60.171180533511233</v>
      </c>
      <c r="O173" s="23">
        <f t="shared" si="16"/>
        <v>4973.4644079554992</v>
      </c>
      <c r="P173" s="23">
        <f t="shared" si="20"/>
        <v>2462.1068310143532</v>
      </c>
      <c r="Q173" s="7">
        <f t="shared" si="17"/>
        <v>2451.1863964076347</v>
      </c>
      <c r="R173" s="7">
        <f t="shared" si="18"/>
        <v>484670.87952146441</v>
      </c>
    </row>
    <row r="174" spans="7:18">
      <c r="G174" s="7" t="s">
        <v>82</v>
      </c>
      <c r="H174" s="7">
        <f>-'tabla financiera '!N174</f>
        <v>-4973.4644079554992</v>
      </c>
      <c r="I174" s="40">
        <v>169</v>
      </c>
      <c r="J174" s="40">
        <v>165</v>
      </c>
      <c r="K174" s="23">
        <f t="shared" si="19"/>
        <v>484670.87952146441</v>
      </c>
      <c r="L174" s="7">
        <f t="shared" si="14"/>
        <v>2509.5859698966315</v>
      </c>
      <c r="M174" s="7">
        <f>+'tabla financiera '!M170</f>
        <v>2449.5500431296477</v>
      </c>
      <c r="N174" s="7">
        <f t="shared" si="15"/>
        <v>60.035926766983721</v>
      </c>
      <c r="O174" s="23">
        <f t="shared" si="16"/>
        <v>4973.4644079554992</v>
      </c>
      <c r="P174" s="23">
        <f t="shared" si="20"/>
        <v>2449.5500431296477</v>
      </c>
      <c r="Q174" s="7">
        <f t="shared" si="17"/>
        <v>2463.8784380588677</v>
      </c>
      <c r="R174" s="7">
        <f t="shared" si="18"/>
        <v>482207.00108340551</v>
      </c>
    </row>
    <row r="175" spans="7:18">
      <c r="G175" s="7" t="s">
        <v>82</v>
      </c>
      <c r="H175" s="7">
        <f>-'tabla financiera '!N175</f>
        <v>-4973.4644079554992</v>
      </c>
      <c r="I175" s="40">
        <v>170</v>
      </c>
      <c r="J175" s="40">
        <v>166</v>
      </c>
      <c r="K175" s="23">
        <f t="shared" si="19"/>
        <v>482207.00108340551</v>
      </c>
      <c r="L175" s="7">
        <f t="shared" si="14"/>
        <v>2496.8282098971272</v>
      </c>
      <c r="M175" s="7">
        <f>+'tabla financiera '!M171</f>
        <v>2436.9304713055185</v>
      </c>
      <c r="N175" s="7">
        <f t="shared" si="15"/>
        <v>59.897738591608686</v>
      </c>
      <c r="O175" s="23">
        <f t="shared" si="16"/>
        <v>4973.4644079554992</v>
      </c>
      <c r="P175" s="23">
        <f t="shared" si="20"/>
        <v>2436.9304713055185</v>
      </c>
      <c r="Q175" s="7">
        <f t="shared" si="17"/>
        <v>2476.636198058372</v>
      </c>
      <c r="R175" s="7">
        <f t="shared" si="18"/>
        <v>479730.36488534714</v>
      </c>
    </row>
    <row r="176" spans="7:18">
      <c r="G176" s="7" t="s">
        <v>82</v>
      </c>
      <c r="H176" s="7">
        <f>-'tabla financiera '!N176</f>
        <v>-4973.4644079554992</v>
      </c>
      <c r="I176" s="40">
        <v>171</v>
      </c>
      <c r="J176" s="40">
        <v>167</v>
      </c>
      <c r="K176" s="23">
        <f t="shared" si="19"/>
        <v>479730.36488534714</v>
      </c>
      <c r="L176" s="7">
        <f t="shared" si="14"/>
        <v>2484.0043912651472</v>
      </c>
      <c r="M176" s="7">
        <f>+'tabla financiera '!M172</f>
        <v>2424.2478016222685</v>
      </c>
      <c r="N176" s="7">
        <f t="shared" si="15"/>
        <v>59.75658964287868</v>
      </c>
      <c r="O176" s="23">
        <f t="shared" si="16"/>
        <v>4973.4644079554992</v>
      </c>
      <c r="P176" s="23">
        <f t="shared" si="20"/>
        <v>2424.2478016222685</v>
      </c>
      <c r="Q176" s="7">
        <f t="shared" si="17"/>
        <v>2489.4600166903519</v>
      </c>
      <c r="R176" s="7">
        <f t="shared" si="18"/>
        <v>477240.90486865677</v>
      </c>
    </row>
    <row r="177" spans="7:18">
      <c r="G177" s="7" t="s">
        <v>82</v>
      </c>
      <c r="H177" s="7">
        <f>-'tabla financiera '!N177</f>
        <v>-4973.4644079554992</v>
      </c>
      <c r="I177" s="40">
        <v>172</v>
      </c>
      <c r="J177" s="40">
        <v>168</v>
      </c>
      <c r="K177" s="23">
        <f t="shared" si="19"/>
        <v>477240.90486865677</v>
      </c>
      <c r="L177" s="7">
        <f t="shared" si="14"/>
        <v>2471.114171954523</v>
      </c>
      <c r="M177" s="7">
        <f>+'tabla financiera '!M173</f>
        <v>2411.5017185906026</v>
      </c>
      <c r="N177" s="7">
        <f t="shared" si="15"/>
        <v>59.612453363920395</v>
      </c>
      <c r="O177" s="23">
        <f t="shared" si="16"/>
        <v>4973.4644079554992</v>
      </c>
      <c r="P177" s="23">
        <f t="shared" si="20"/>
        <v>2411.5017185906026</v>
      </c>
      <c r="Q177" s="7">
        <f t="shared" si="17"/>
        <v>2502.3502360009761</v>
      </c>
      <c r="R177" s="7">
        <f t="shared" si="18"/>
        <v>474738.55463265581</v>
      </c>
    </row>
    <row r="178" spans="7:18">
      <c r="G178" s="7" t="s">
        <v>82</v>
      </c>
      <c r="H178" s="7">
        <f>-'tabla financiera '!N178</f>
        <v>-4973.4644079554992</v>
      </c>
      <c r="I178" s="40">
        <v>173</v>
      </c>
      <c r="J178" s="40">
        <v>169</v>
      </c>
      <c r="K178" s="23">
        <f t="shared" si="19"/>
        <v>474738.55463265581</v>
      </c>
      <c r="L178" s="7">
        <f t="shared" si="14"/>
        <v>2458.1572081479994</v>
      </c>
      <c r="M178" s="7">
        <f>+'tabla financiera '!M174</f>
        <v>2398.6919051437781</v>
      </c>
      <c r="N178" s="7">
        <f t="shared" si="15"/>
        <v>59.465303004221369</v>
      </c>
      <c r="O178" s="23">
        <f t="shared" si="16"/>
        <v>4973.4644079554992</v>
      </c>
      <c r="P178" s="23">
        <f t="shared" si="20"/>
        <v>2398.6919051437781</v>
      </c>
      <c r="Q178" s="7">
        <f t="shared" si="17"/>
        <v>2515.3071998074997</v>
      </c>
      <c r="R178" s="7">
        <f t="shared" si="18"/>
        <v>472223.24743284832</v>
      </c>
    </row>
    <row r="179" spans="7:18">
      <c r="G179" s="7" t="s">
        <v>82</v>
      </c>
      <c r="H179" s="7">
        <f>-'tabla financiera '!N179</f>
        <v>-4973.4644079554992</v>
      </c>
      <c r="I179" s="40">
        <v>174</v>
      </c>
      <c r="J179" s="40">
        <v>170</v>
      </c>
      <c r="K179" s="23">
        <f t="shared" si="19"/>
        <v>472223.24743284832</v>
      </c>
      <c r="L179" s="7">
        <f t="shared" si="14"/>
        <v>2445.1331542480639</v>
      </c>
      <c r="M179" s="7">
        <f>+'tabla financiera '!M175</f>
        <v>2385.818042629719</v>
      </c>
      <c r="N179" s="7">
        <f t="shared" si="15"/>
        <v>59.315111618344872</v>
      </c>
      <c r="O179" s="23">
        <f t="shared" si="16"/>
        <v>4973.4644079554992</v>
      </c>
      <c r="P179" s="23">
        <f t="shared" si="20"/>
        <v>2385.818042629719</v>
      </c>
      <c r="Q179" s="7">
        <f t="shared" si="17"/>
        <v>2528.3312537074353</v>
      </c>
      <c r="R179" s="7">
        <f t="shared" si="18"/>
        <v>469694.91617914091</v>
      </c>
    </row>
    <row r="180" spans="7:18">
      <c r="G180" s="7" t="s">
        <v>82</v>
      </c>
      <c r="H180" s="7">
        <f>-'tabla financiera '!N180</f>
        <v>-4973.4644079554992</v>
      </c>
      <c r="I180" s="40">
        <v>175</v>
      </c>
      <c r="J180" s="40">
        <v>171</v>
      </c>
      <c r="K180" s="23">
        <f t="shared" si="19"/>
        <v>469694.91617914091</v>
      </c>
      <c r="L180" s="7">
        <f t="shared" si="14"/>
        <v>2432.0416628677276</v>
      </c>
      <c r="M180" s="7">
        <f>+'tabla financiera '!M176</f>
        <v>2372.8798108030901</v>
      </c>
      <c r="N180" s="7">
        <f t="shared" si="15"/>
        <v>59.161852064637515</v>
      </c>
      <c r="O180" s="23">
        <f t="shared" si="16"/>
        <v>4973.4644079554992</v>
      </c>
      <c r="P180" s="23">
        <f t="shared" si="20"/>
        <v>2372.8798108030901</v>
      </c>
      <c r="Q180" s="7">
        <f t="shared" si="17"/>
        <v>2541.4227450877715</v>
      </c>
      <c r="R180" s="7">
        <f t="shared" si="18"/>
        <v>467153.49343405315</v>
      </c>
    </row>
    <row r="181" spans="7:18">
      <c r="G181" s="7" t="s">
        <v>82</v>
      </c>
      <c r="H181" s="7">
        <f>-'tabla financiera '!N181</f>
        <v>-4973.4644079554992</v>
      </c>
      <c r="I181" s="40">
        <v>176</v>
      </c>
      <c r="J181" s="40">
        <v>172</v>
      </c>
      <c r="K181" s="23">
        <f t="shared" si="19"/>
        <v>467153.49343405315</v>
      </c>
      <c r="L181" s="7">
        <f t="shared" si="14"/>
        <v>2418.882384821261</v>
      </c>
      <c r="M181" s="7">
        <f>+'tabla financiera '!M177</f>
        <v>2359.8768878173282</v>
      </c>
      <c r="N181" s="7">
        <f t="shared" si="15"/>
        <v>59.00549700393276</v>
      </c>
      <c r="O181" s="23">
        <f t="shared" si="16"/>
        <v>4973.4644079554992</v>
      </c>
      <c r="P181" s="23">
        <f t="shared" si="20"/>
        <v>2359.8768878173282</v>
      </c>
      <c r="Q181" s="7">
        <f t="shared" si="17"/>
        <v>2554.5820231342382</v>
      </c>
      <c r="R181" s="7">
        <f t="shared" si="18"/>
        <v>464598.91141091892</v>
      </c>
    </row>
    <row r="182" spans="7:18">
      <c r="G182" s="7" t="s">
        <v>82</v>
      </c>
      <c r="H182" s="7">
        <f>-'tabla financiera '!N182</f>
        <v>-4973.4644079554992</v>
      </c>
      <c r="I182" s="40">
        <v>177</v>
      </c>
      <c r="J182" s="40">
        <v>173</v>
      </c>
      <c r="K182" s="23">
        <f t="shared" si="19"/>
        <v>464598.91141091892</v>
      </c>
      <c r="L182" s="7">
        <f t="shared" si="14"/>
        <v>2405.6549691148798</v>
      </c>
      <c r="M182" s="7">
        <f>+'tabla financiera '!M178</f>
        <v>2346.8089502166372</v>
      </c>
      <c r="N182" s="7">
        <f t="shared" si="15"/>
        <v>58.846018898242619</v>
      </c>
      <c r="O182" s="23">
        <f t="shared" si="16"/>
        <v>4973.4644079554992</v>
      </c>
      <c r="P182" s="23">
        <f t="shared" si="20"/>
        <v>2346.8089502166372</v>
      </c>
      <c r="Q182" s="7">
        <f t="shared" si="17"/>
        <v>2567.8094388406194</v>
      </c>
      <c r="R182" s="7">
        <f t="shared" si="18"/>
        <v>462031.10197207832</v>
      </c>
    </row>
    <row r="183" spans="7:18">
      <c r="G183" s="7" t="s">
        <v>82</v>
      </c>
      <c r="H183" s="7">
        <f>-'tabla financiera '!N183</f>
        <v>-4973.4644079554992</v>
      </c>
      <c r="I183" s="40">
        <v>178</v>
      </c>
      <c r="J183" s="40">
        <v>174</v>
      </c>
      <c r="K183" s="23">
        <f t="shared" si="19"/>
        <v>462031.10197207832</v>
      </c>
      <c r="L183" s="7">
        <f t="shared" si="14"/>
        <v>2392.3590629373825</v>
      </c>
      <c r="M183" s="7">
        <f>+'tabla financiera '!M179</f>
        <v>2333.6756729279432</v>
      </c>
      <c r="N183" s="7">
        <f t="shared" si="15"/>
        <v>58.683390009439336</v>
      </c>
      <c r="O183" s="23">
        <f t="shared" si="16"/>
        <v>4973.4644079554992</v>
      </c>
      <c r="P183" s="23">
        <f t="shared" si="20"/>
        <v>2333.6756729279432</v>
      </c>
      <c r="Q183" s="7">
        <f t="shared" si="17"/>
        <v>2581.1053450181166</v>
      </c>
      <c r="R183" s="7">
        <f t="shared" si="18"/>
        <v>459449.99662706023</v>
      </c>
    </row>
    <row r="184" spans="7:18">
      <c r="G184" s="7" t="s">
        <v>82</v>
      </c>
      <c r="H184" s="7">
        <f>-'tabla financiera '!N184</f>
        <v>-4973.4644079554992</v>
      </c>
      <c r="I184" s="40">
        <v>179</v>
      </c>
      <c r="J184" s="40">
        <v>175</v>
      </c>
      <c r="K184" s="23">
        <f t="shared" si="19"/>
        <v>459449.99662706023</v>
      </c>
      <c r="L184" s="7">
        <f t="shared" si="14"/>
        <v>2378.9943116507397</v>
      </c>
      <c r="M184" s="7">
        <f>+'tabla financiera '!M180</f>
        <v>2320.4767292528054</v>
      </c>
      <c r="N184" s="7">
        <f t="shared" si="15"/>
        <v>58.517582397934348</v>
      </c>
      <c r="O184" s="23">
        <f t="shared" si="16"/>
        <v>4973.4644079554992</v>
      </c>
      <c r="P184" s="23">
        <f t="shared" si="20"/>
        <v>2320.4767292528054</v>
      </c>
      <c r="Q184" s="7">
        <f t="shared" si="17"/>
        <v>2594.4700963047594</v>
      </c>
      <c r="R184" s="7">
        <f t="shared" si="18"/>
        <v>456855.52653075545</v>
      </c>
    </row>
    <row r="185" spans="7:18">
      <c r="G185" s="7" t="s">
        <v>82</v>
      </c>
      <c r="H185" s="7">
        <f>-'tabla financiera '!N185</f>
        <v>-4973.4644079554992</v>
      </c>
      <c r="I185" s="40">
        <v>180</v>
      </c>
      <c r="J185" s="40">
        <v>176</v>
      </c>
      <c r="K185" s="23">
        <f t="shared" si="19"/>
        <v>456855.52653075545</v>
      </c>
      <c r="L185" s="7">
        <f t="shared" si="14"/>
        <v>2365.5603587806368</v>
      </c>
      <c r="M185" s="7">
        <f>+'tabla financiera '!M181</f>
        <v>2307.2117908592918</v>
      </c>
      <c r="N185" s="7">
        <f t="shared" si="15"/>
        <v>58.348567921344966</v>
      </c>
      <c r="O185" s="23">
        <f t="shared" si="16"/>
        <v>4973.4644079554992</v>
      </c>
      <c r="P185" s="23">
        <f t="shared" si="20"/>
        <v>2307.2117908592918</v>
      </c>
      <c r="Q185" s="7">
        <f t="shared" si="17"/>
        <v>2607.9040491748624</v>
      </c>
      <c r="R185" s="7">
        <f t="shared" si="18"/>
        <v>454247.62248158059</v>
      </c>
    </row>
    <row r="186" spans="7:18">
      <c r="G186" s="7" t="s">
        <v>82</v>
      </c>
      <c r="H186" s="7">
        <f>-'tabla financiera '!N186</f>
        <v>-4973.4644079554992</v>
      </c>
      <c r="I186" s="40">
        <v>181</v>
      </c>
      <c r="J186" s="40">
        <v>177</v>
      </c>
      <c r="K186" s="23">
        <f t="shared" si="19"/>
        <v>454247.62248158059</v>
      </c>
      <c r="L186" s="7">
        <f t="shared" si="14"/>
        <v>2352.056846006963</v>
      </c>
      <c r="M186" s="7">
        <f>+'tabla financiera '!M182</f>
        <v>2293.8805277738111</v>
      </c>
      <c r="N186" s="7">
        <f t="shared" si="15"/>
        <v>58.17631823315196</v>
      </c>
      <c r="O186" s="23">
        <f t="shared" si="16"/>
        <v>4973.4644079554992</v>
      </c>
      <c r="P186" s="23">
        <f t="shared" si="20"/>
        <v>2293.8805277738111</v>
      </c>
      <c r="Q186" s="7">
        <f t="shared" si="17"/>
        <v>2621.4075619485361</v>
      </c>
      <c r="R186" s="7">
        <f t="shared" si="18"/>
        <v>451626.21491963207</v>
      </c>
    </row>
    <row r="187" spans="7:18">
      <c r="G187" s="7" t="s">
        <v>82</v>
      </c>
      <c r="H187" s="7">
        <f>-'tabla financiera '!N187</f>
        <v>-4973.4644079554992</v>
      </c>
      <c r="I187" s="40">
        <v>182</v>
      </c>
      <c r="J187" s="40">
        <v>178</v>
      </c>
      <c r="K187" s="23">
        <f t="shared" si="19"/>
        <v>451626.21491963207</v>
      </c>
      <c r="L187" s="7">
        <f t="shared" si="14"/>
        <v>2338.4834131542561</v>
      </c>
      <c r="M187" s="7">
        <f>+'tabla financiera '!M183</f>
        <v>2280.4826083729022</v>
      </c>
      <c r="N187" s="7">
        <f t="shared" si="15"/>
        <v>58.000804781353963</v>
      </c>
      <c r="O187" s="23">
        <f t="shared" si="16"/>
        <v>4973.4644079554992</v>
      </c>
      <c r="P187" s="23">
        <f t="shared" si="20"/>
        <v>2280.4826083729022</v>
      </c>
      <c r="Q187" s="7">
        <f t="shared" si="17"/>
        <v>2634.980994801243</v>
      </c>
      <c r="R187" s="7">
        <f t="shared" si="18"/>
        <v>448991.2339248308</v>
      </c>
    </row>
    <row r="188" spans="7:18">
      <c r="G188" s="7" t="s">
        <v>82</v>
      </c>
      <c r="H188" s="7">
        <f>-'tabla financiera '!N188</f>
        <v>-4973.4644079554992</v>
      </c>
      <c r="I188" s="40">
        <v>183</v>
      </c>
      <c r="J188" s="40">
        <v>179</v>
      </c>
      <c r="K188" s="23">
        <f t="shared" si="19"/>
        <v>448991.2339248308</v>
      </c>
      <c r="L188" s="7">
        <f t="shared" si="14"/>
        <v>2324.8396981820947</v>
      </c>
      <c r="M188" s="7">
        <f>+'tabla financiera '!M184</f>
        <v>2267.0176993749892</v>
      </c>
      <c r="N188" s="7">
        <f t="shared" si="15"/>
        <v>57.821998807105501</v>
      </c>
      <c r="O188" s="23">
        <f t="shared" si="16"/>
        <v>4973.4644079554992</v>
      </c>
      <c r="P188" s="23">
        <f t="shared" si="20"/>
        <v>2267.0176993749892</v>
      </c>
      <c r="Q188" s="7">
        <f t="shared" si="17"/>
        <v>2648.6247097734044</v>
      </c>
      <c r="R188" s="7">
        <f t="shared" si="18"/>
        <v>446342.6092150574</v>
      </c>
    </row>
    <row r="189" spans="7:18">
      <c r="G189" s="7" t="s">
        <v>82</v>
      </c>
      <c r="H189" s="7">
        <f>-'tabla financiera '!N189</f>
        <v>-4973.4644079554992</v>
      </c>
      <c r="I189" s="40">
        <v>184</v>
      </c>
      <c r="J189" s="40">
        <v>180</v>
      </c>
      <c r="K189" s="23">
        <f t="shared" si="19"/>
        <v>446342.6092150574</v>
      </c>
      <c r="L189" s="7">
        <f t="shared" si="14"/>
        <v>2311.1253371754428</v>
      </c>
      <c r="M189" s="7">
        <f>+'tabla financiera '!M185</f>
        <v>2253.4854658320869</v>
      </c>
      <c r="N189" s="7">
        <f t="shared" si="15"/>
        <v>57.639871343355935</v>
      </c>
      <c r="O189" s="23">
        <f t="shared" si="16"/>
        <v>4973.4644079554992</v>
      </c>
      <c r="P189" s="23">
        <f t="shared" si="20"/>
        <v>2253.4854658320869</v>
      </c>
      <c r="Q189" s="7">
        <f t="shared" si="17"/>
        <v>2662.3390707800563</v>
      </c>
      <c r="R189" s="7">
        <f t="shared" si="18"/>
        <v>443680.27014427737</v>
      </c>
    </row>
    <row r="190" spans="7:18">
      <c r="G190" s="7" t="s">
        <v>82</v>
      </c>
      <c r="H190" s="7">
        <f>-'tabla financiera '!N190</f>
        <v>-4973.4644079554992</v>
      </c>
      <c r="I190" s="40">
        <v>185</v>
      </c>
      <c r="J190" s="40">
        <v>181</v>
      </c>
      <c r="K190" s="23">
        <f t="shared" si="19"/>
        <v>443680.27014427737</v>
      </c>
      <c r="L190" s="7">
        <f t="shared" si="14"/>
        <v>2297.3399643349412</v>
      </c>
      <c r="M190" s="7">
        <f>+'tabla financiera '!M186</f>
        <v>2239.8855711214696</v>
      </c>
      <c r="N190" s="7">
        <f t="shared" si="15"/>
        <v>57.454393213471576</v>
      </c>
      <c r="O190" s="23">
        <f t="shared" si="16"/>
        <v>4973.4644079554992</v>
      </c>
      <c r="P190" s="23">
        <f t="shared" si="20"/>
        <v>2239.8855711214696</v>
      </c>
      <c r="Q190" s="7">
        <f t="shared" si="17"/>
        <v>2676.1244436205579</v>
      </c>
      <c r="R190" s="7">
        <f t="shared" si="18"/>
        <v>441004.14570065681</v>
      </c>
    </row>
    <row r="191" spans="7:18">
      <c r="G191" s="7" t="s">
        <v>82</v>
      </c>
      <c r="H191" s="7">
        <f>-'tabla financiera '!N191</f>
        <v>-4973.4644079554992</v>
      </c>
      <c r="I191" s="40">
        <v>186</v>
      </c>
      <c r="J191" s="40">
        <v>182</v>
      </c>
      <c r="K191" s="23">
        <f t="shared" si="19"/>
        <v>441004.14570065681</v>
      </c>
      <c r="L191" s="7">
        <f t="shared" si="14"/>
        <v>2283.4832119671519</v>
      </c>
      <c r="M191" s="7">
        <f>+'tabla financiera '!M187</f>
        <v>2226.2176769372995</v>
      </c>
      <c r="N191" s="7">
        <f t="shared" si="15"/>
        <v>57.265535029852344</v>
      </c>
      <c r="O191" s="23">
        <f t="shared" si="16"/>
        <v>4973.4644079554992</v>
      </c>
      <c r="P191" s="23">
        <f t="shared" si="20"/>
        <v>2226.2176769372995</v>
      </c>
      <c r="Q191" s="7">
        <f t="shared" si="17"/>
        <v>2689.9811959883473</v>
      </c>
      <c r="R191" s="7">
        <f t="shared" si="18"/>
        <v>438314.16450466844</v>
      </c>
    </row>
    <row r="192" spans="7:18">
      <c r="G192" s="7" t="s">
        <v>82</v>
      </c>
      <c r="H192" s="7">
        <f>-'tabla financiera '!N192</f>
        <v>-4973.4644079554992</v>
      </c>
      <c r="I192" s="40">
        <v>187</v>
      </c>
      <c r="J192" s="40">
        <v>183</v>
      </c>
      <c r="K192" s="23">
        <f t="shared" si="19"/>
        <v>438314.16450466844</v>
      </c>
      <c r="L192" s="7">
        <f t="shared" si="14"/>
        <v>2269.5547104747507</v>
      </c>
      <c r="M192" s="7">
        <f>+'tabla financiera '!M188</f>
        <v>2212.4814432822086</v>
      </c>
      <c r="N192" s="7">
        <f t="shared" si="15"/>
        <v>57.073267192542062</v>
      </c>
      <c r="O192" s="23">
        <f t="shared" si="16"/>
        <v>4973.4644079554992</v>
      </c>
      <c r="P192" s="23">
        <f t="shared" si="20"/>
        <v>2212.4814432822086</v>
      </c>
      <c r="Q192" s="7">
        <f t="shared" si="17"/>
        <v>2703.9096974807485</v>
      </c>
      <c r="R192" s="7">
        <f t="shared" si="18"/>
        <v>435610.25480718771</v>
      </c>
    </row>
    <row r="193" spans="1:18">
      <c r="G193" s="7" t="s">
        <v>82</v>
      </c>
      <c r="H193" s="7">
        <f>-'tabla financiera '!N193</f>
        <v>-4973.4644079554992</v>
      </c>
      <c r="I193" s="40">
        <v>188</v>
      </c>
      <c r="J193" s="40">
        <v>184</v>
      </c>
      <c r="K193" s="23">
        <f t="shared" si="19"/>
        <v>435610.25480718771</v>
      </c>
      <c r="L193" s="7">
        <f t="shared" si="14"/>
        <v>2255.5540883466688</v>
      </c>
      <c r="M193" s="7">
        <f>+'tabla financiera '!M189</f>
        <v>2198.6765284588419</v>
      </c>
      <c r="N193" s="7">
        <f t="shared" si="15"/>
        <v>56.877559887826919</v>
      </c>
      <c r="O193" s="23">
        <f t="shared" si="16"/>
        <v>4973.4644079554992</v>
      </c>
      <c r="P193" s="23">
        <f t="shared" si="20"/>
        <v>2198.6765284588419</v>
      </c>
      <c r="Q193" s="7">
        <f t="shared" si="17"/>
        <v>2717.9103196088304</v>
      </c>
      <c r="R193" s="7">
        <f t="shared" si="18"/>
        <v>432892.3444875789</v>
      </c>
    </row>
    <row r="194" spans="1:18">
      <c r="G194" s="7" t="s">
        <v>82</v>
      </c>
      <c r="H194" s="7">
        <f>-'tabla financiera '!N194</f>
        <v>-4973.4644079554992</v>
      </c>
      <c r="I194" s="40">
        <v>189</v>
      </c>
      <c r="J194" s="40">
        <v>185</v>
      </c>
      <c r="K194" s="23">
        <f t="shared" si="19"/>
        <v>432892.3444875789</v>
      </c>
      <c r="L194" s="7">
        <f t="shared" si="14"/>
        <v>2241.4809721481838</v>
      </c>
      <c r="M194" s="7">
        <f>+'tabla financiera '!M190</f>
        <v>2184.8025890613585</v>
      </c>
      <c r="N194" s="7">
        <f t="shared" si="15"/>
        <v>56.678383086825306</v>
      </c>
      <c r="O194" s="23">
        <f t="shared" si="16"/>
        <v>4973.4644079554992</v>
      </c>
      <c r="P194" s="23">
        <f t="shared" si="20"/>
        <v>2184.8025890613585</v>
      </c>
      <c r="Q194" s="7">
        <f t="shared" si="17"/>
        <v>2731.9834358073153</v>
      </c>
      <c r="R194" s="7">
        <f t="shared" si="18"/>
        <v>430160.36105177156</v>
      </c>
    </row>
    <row r="195" spans="1:18">
      <c r="G195" s="7" t="s">
        <v>82</v>
      </c>
      <c r="H195" s="7">
        <f>-'tabla financiera '!N195</f>
        <v>-4973.4644079554992</v>
      </c>
      <c r="I195" s="40">
        <v>190</v>
      </c>
      <c r="J195" s="40">
        <v>186</v>
      </c>
      <c r="K195" s="23">
        <f t="shared" si="19"/>
        <v>430160.36105177156</v>
      </c>
      <c r="L195" s="7">
        <f t="shared" si="14"/>
        <v>2227.3349865109585</v>
      </c>
      <c r="M195" s="7">
        <f>+'tabla financiera '!M191</f>
        <v>2170.8592799668877</v>
      </c>
      <c r="N195" s="7">
        <f t="shared" si="15"/>
        <v>56.475706544070817</v>
      </c>
      <c r="O195" s="23">
        <f t="shared" si="16"/>
        <v>4973.4644079554992</v>
      </c>
      <c r="P195" s="23">
        <f t="shared" si="20"/>
        <v>2170.8592799668877</v>
      </c>
      <c r="Q195" s="7">
        <f t="shared" si="17"/>
        <v>2746.1294214445406</v>
      </c>
      <c r="R195" s="7">
        <f t="shared" si="18"/>
        <v>427414.23163032701</v>
      </c>
    </row>
    <row r="196" spans="1:18">
      <c r="G196" s="7" t="s">
        <v>82</v>
      </c>
      <c r="H196" s="7">
        <f>-'tabla financiera '!N196</f>
        <v>-4973.4644079554992</v>
      </c>
      <c r="I196" s="40">
        <v>191</v>
      </c>
      <c r="J196" s="40">
        <v>187</v>
      </c>
      <c r="K196" s="23">
        <f t="shared" si="19"/>
        <v>427414.23163032701</v>
      </c>
      <c r="L196" s="7">
        <f t="shared" si="14"/>
        <v>2213.1157541230295</v>
      </c>
      <c r="M196" s="7">
        <f>+'tabla financiera '!M192</f>
        <v>2156.8462543269447</v>
      </c>
      <c r="N196" s="7">
        <f t="shared" si="15"/>
        <v>56.269499796084801</v>
      </c>
      <c r="O196" s="23">
        <f t="shared" si="16"/>
        <v>4973.4644079554992</v>
      </c>
      <c r="P196" s="23">
        <f t="shared" si="20"/>
        <v>2156.8462543269447</v>
      </c>
      <c r="Q196" s="7">
        <f t="shared" si="17"/>
        <v>2760.3486538324696</v>
      </c>
      <c r="R196" s="7">
        <f t="shared" si="18"/>
        <v>424653.88297649455</v>
      </c>
    </row>
    <row r="197" spans="1:18">
      <c r="G197" s="7" t="s">
        <v>82</v>
      </c>
      <c r="H197" s="7">
        <f>-'tabla financiera '!N197</f>
        <v>-4973.4644079554992</v>
      </c>
      <c r="I197" s="40">
        <v>192</v>
      </c>
      <c r="J197" s="40">
        <v>188</v>
      </c>
      <c r="K197" s="23">
        <f t="shared" si="19"/>
        <v>424653.88297649455</v>
      </c>
      <c r="L197" s="7">
        <f t="shared" si="14"/>
        <v>2198.8228957187434</v>
      </c>
      <c r="M197" s="7">
        <f>+'tabla financiera '!M193</f>
        <v>2142.7631635588023</v>
      </c>
      <c r="N197" s="7">
        <f t="shared" si="15"/>
        <v>56.059732159941177</v>
      </c>
      <c r="O197" s="23">
        <f t="shared" si="16"/>
        <v>4973.4644079554992</v>
      </c>
      <c r="P197" s="23">
        <f t="shared" si="20"/>
        <v>2142.7631635588023</v>
      </c>
      <c r="Q197" s="7">
        <f t="shared" si="17"/>
        <v>2774.6415122367557</v>
      </c>
      <c r="R197" s="7">
        <f t="shared" si="18"/>
        <v>421879.24146425782</v>
      </c>
    </row>
    <row r="198" spans="1:18">
      <c r="G198" s="7" t="s">
        <v>82</v>
      </c>
      <c r="H198" s="7">
        <f>-'tabla financiera '!N198</f>
        <v>-4973.4644079554992</v>
      </c>
      <c r="I198" s="40">
        <v>193</v>
      </c>
      <c r="J198" s="40">
        <v>189</v>
      </c>
      <c r="K198" s="23">
        <f t="shared" si="19"/>
        <v>421879.24146425782</v>
      </c>
      <c r="L198" s="7">
        <f t="shared" si="14"/>
        <v>2184.4560300686408</v>
      </c>
      <c r="M198" s="7">
        <f>+'tabla financiera '!M194</f>
        <v>2128.6096573368186</v>
      </c>
      <c r="N198" s="7">
        <f t="shared" si="15"/>
        <v>55.846372731822157</v>
      </c>
      <c r="O198" s="23">
        <f t="shared" si="16"/>
        <v>4973.4644079554992</v>
      </c>
      <c r="P198" s="23">
        <f t="shared" si="20"/>
        <v>2128.6096573368186</v>
      </c>
      <c r="Q198" s="7">
        <f t="shared" si="17"/>
        <v>2789.0083778868584</v>
      </c>
      <c r="R198" s="7">
        <f t="shared" si="18"/>
        <v>419090.23308637098</v>
      </c>
    </row>
    <row r="199" spans="1:18">
      <c r="G199" s="7" t="s">
        <v>82</v>
      </c>
      <c r="H199" s="7">
        <f>-'tabla financiera '!N199</f>
        <v>-4973.4644079554992</v>
      </c>
      <c r="I199" s="40">
        <v>194</v>
      </c>
      <c r="J199" s="40">
        <v>190</v>
      </c>
      <c r="K199" s="23">
        <f t="shared" si="19"/>
        <v>419090.23308637098</v>
      </c>
      <c r="L199" s="7">
        <f t="shared" si="14"/>
        <v>2170.0147739692861</v>
      </c>
      <c r="M199" s="7">
        <f>+'tabla financiera '!M195</f>
        <v>2114.3853835837253</v>
      </c>
      <c r="N199" s="7">
        <f t="shared" si="15"/>
        <v>55.629390385560782</v>
      </c>
      <c r="O199" s="23">
        <f t="shared" si="16"/>
        <v>4973.4644079554992</v>
      </c>
      <c r="P199" s="23">
        <f t="shared" si="20"/>
        <v>2114.3853835837253</v>
      </c>
      <c r="Q199" s="7">
        <f t="shared" si="17"/>
        <v>2803.449633986213</v>
      </c>
      <c r="R199" s="7">
        <f t="shared" si="18"/>
        <v>416286.78345238476</v>
      </c>
    </row>
    <row r="200" spans="1:18">
      <c r="G200" s="7" t="s">
        <v>82</v>
      </c>
      <c r="H200" s="7">
        <f>-'tabla financiera '!N200</f>
        <v>-4973.4644079554992</v>
      </c>
      <c r="I200" s="40">
        <v>195</v>
      </c>
      <c r="J200" s="40">
        <v>191</v>
      </c>
      <c r="K200" s="23">
        <f t="shared" si="19"/>
        <v>416286.78345238476</v>
      </c>
      <c r="L200" s="7">
        <f t="shared" si="14"/>
        <v>2155.4987422330487</v>
      </c>
      <c r="M200" s="7">
        <f>+'tabla financiera '!M196</f>
        <v>2100.0899884618666</v>
      </c>
      <c r="N200" s="7">
        <f t="shared" si="15"/>
        <v>55.408753771182091</v>
      </c>
      <c r="O200" s="23">
        <f t="shared" si="16"/>
        <v>4973.4644079554992</v>
      </c>
      <c r="P200" s="23">
        <f t="shared" si="20"/>
        <v>2100.0899884618666</v>
      </c>
      <c r="Q200" s="7">
        <f t="shared" si="17"/>
        <v>2817.9656657224505</v>
      </c>
      <c r="R200" s="7">
        <f t="shared" si="18"/>
        <v>413468.81778666232</v>
      </c>
    </row>
    <row r="201" spans="1:18">
      <c r="G201" s="7" t="s">
        <v>82</v>
      </c>
      <c r="H201" s="7">
        <f>-'tabla financiera '!N201</f>
        <v>-4973.4644079554992</v>
      </c>
      <c r="I201" s="40">
        <v>196</v>
      </c>
      <c r="J201" s="40">
        <v>192</v>
      </c>
      <c r="K201" s="23">
        <f t="shared" si="19"/>
        <v>413468.81778666232</v>
      </c>
      <c r="L201" s="7">
        <f t="shared" si="14"/>
        <v>2140.907547677828</v>
      </c>
      <c r="M201" s="7">
        <f>+'tabla financiera '!M197</f>
        <v>2085.7231163643983</v>
      </c>
      <c r="N201" s="7">
        <f t="shared" si="15"/>
        <v>55.184431313429741</v>
      </c>
      <c r="O201" s="23">
        <f t="shared" si="16"/>
        <v>4973.4644079554992</v>
      </c>
      <c r="P201" s="23">
        <f t="shared" si="20"/>
        <v>2085.7231163643983</v>
      </c>
      <c r="Q201" s="7">
        <f t="shared" si="17"/>
        <v>2832.5568602776711</v>
      </c>
      <c r="R201" s="7">
        <f t="shared" si="18"/>
        <v>410636.26092638465</v>
      </c>
    </row>
    <row r="202" spans="1:18">
      <c r="G202" s="7" t="s">
        <v>82</v>
      </c>
      <c r="H202" s="7">
        <f>-'tabla financiera '!N202</f>
        <v>-4973.4644079554992</v>
      </c>
      <c r="I202" s="40">
        <v>197</v>
      </c>
      <c r="J202" s="40">
        <v>193</v>
      </c>
      <c r="K202" s="23">
        <f t="shared" si="19"/>
        <v>410636.26092638465</v>
      </c>
      <c r="L202" s="7">
        <f t="shared" si="14"/>
        <v>2126.2408011167272</v>
      </c>
      <c r="M202" s="7">
        <f>+'tabla financiera '!M198</f>
        <v>2071.2844099064428</v>
      </c>
      <c r="N202" s="7">
        <f t="shared" si="15"/>
        <v>54.956391210284437</v>
      </c>
      <c r="O202" s="23">
        <f t="shared" si="16"/>
        <v>4973.4644079554992</v>
      </c>
      <c r="P202" s="23">
        <f t="shared" si="20"/>
        <v>2071.2844099064428</v>
      </c>
      <c r="Q202" s="7">
        <f t="shared" si="17"/>
        <v>2847.223606838772</v>
      </c>
      <c r="R202" s="7">
        <f t="shared" si="18"/>
        <v>407789.03731954587</v>
      </c>
    </row>
    <row r="203" spans="1:18">
      <c r="G203" s="7" t="s">
        <v>82</v>
      </c>
      <c r="H203" s="7">
        <f>-'tabla financiera '!N203</f>
        <v>-4973.4644079554992</v>
      </c>
      <c r="I203" s="40">
        <v>198</v>
      </c>
      <c r="J203" s="40">
        <v>194</v>
      </c>
      <c r="K203" s="23">
        <f t="shared" si="19"/>
        <v>407789.03731954587</v>
      </c>
      <c r="L203" s="7">
        <f t="shared" ref="L203:L266" si="21">+K203*H$306</f>
        <v>2111.4981113476697</v>
      </c>
      <c r="M203" s="7">
        <f>+'tabla financiera '!M199</f>
        <v>2056.7735099161973</v>
      </c>
      <c r="N203" s="7">
        <f t="shared" ref="N203:N266" si="22">+L203-M203</f>
        <v>54.724601431472365</v>
      </c>
      <c r="O203" s="23">
        <f t="shared" ref="O203:O266" si="23">-H199</f>
        <v>4973.4644079554992</v>
      </c>
      <c r="P203" s="23">
        <f t="shared" si="20"/>
        <v>2056.7735099161973</v>
      </c>
      <c r="Q203" s="7">
        <f t="shared" ref="Q203:Q266" si="24">+O203-L203</f>
        <v>2861.9662966078295</v>
      </c>
      <c r="R203" s="7">
        <f t="shared" ref="R203:R266" si="25">+K203-Q203</f>
        <v>404927.07102293806</v>
      </c>
    </row>
    <row r="204" spans="1:18">
      <c r="G204" s="7" t="s">
        <v>82</v>
      </c>
      <c r="H204" s="7">
        <f>-'tabla financiera '!N204</f>
        <v>-4973.4644079554992</v>
      </c>
      <c r="I204" s="40">
        <v>199</v>
      </c>
      <c r="J204" s="40">
        <v>195</v>
      </c>
      <c r="K204" s="23">
        <f t="shared" ref="K204:K267" si="26">+R203</f>
        <v>404927.07102293806</v>
      </c>
      <c r="L204" s="7">
        <f t="shared" si="21"/>
        <v>2096.6790851429691</v>
      </c>
      <c r="M204" s="7">
        <f>+'tabla financiera '!M200</f>
        <v>2042.190055426001</v>
      </c>
      <c r="N204" s="7">
        <f t="shared" si="22"/>
        <v>54.489029716968162</v>
      </c>
      <c r="O204" s="23">
        <f t="shared" si="23"/>
        <v>4973.4644079554992</v>
      </c>
      <c r="P204" s="23">
        <f t="shared" ref="P204:P267" si="27">+M204</f>
        <v>2042.190055426001</v>
      </c>
      <c r="Q204" s="7">
        <f t="shared" si="24"/>
        <v>2876.78532281253</v>
      </c>
      <c r="R204" s="7">
        <f t="shared" si="25"/>
        <v>402050.28570012556</v>
      </c>
    </row>
    <row r="205" spans="1:18">
      <c r="G205" s="7" t="s">
        <v>82</v>
      </c>
      <c r="H205" s="7">
        <f>-'tabla financiera '!N205</f>
        <v>-4973.4644079554992</v>
      </c>
      <c r="I205" s="40">
        <v>200</v>
      </c>
      <c r="J205" s="40">
        <v>196</v>
      </c>
      <c r="K205" s="23">
        <f t="shared" si="26"/>
        <v>402050.28570012556</v>
      </c>
      <c r="L205" s="7">
        <f t="shared" si="21"/>
        <v>2081.7833272388361</v>
      </c>
      <c r="M205" s="7">
        <f>+'tabla financiera '!M201</f>
        <v>2027.5336836633535</v>
      </c>
      <c r="N205" s="7">
        <f t="shared" si="22"/>
        <v>54.249643575482651</v>
      </c>
      <c r="O205" s="23">
        <f t="shared" si="23"/>
        <v>4973.4644079554992</v>
      </c>
      <c r="P205" s="23">
        <f t="shared" si="27"/>
        <v>2027.5336836633535</v>
      </c>
      <c r="Q205" s="7">
        <f t="shared" si="24"/>
        <v>2891.681080716663</v>
      </c>
      <c r="R205" s="7">
        <f t="shared" si="25"/>
        <v>399158.6046194089</v>
      </c>
    </row>
    <row r="206" spans="1:18">
      <c r="G206" s="7" t="s">
        <v>82</v>
      </c>
      <c r="H206" s="7">
        <f>-'tabla financiera '!N206</f>
        <v>-4973.4644079554992</v>
      </c>
      <c r="I206" s="40">
        <v>201</v>
      </c>
      <c r="J206" s="40">
        <v>197</v>
      </c>
      <c r="K206" s="23">
        <f t="shared" si="26"/>
        <v>399158.6046194089</v>
      </c>
      <c r="L206" s="7">
        <f t="shared" si="21"/>
        <v>2066.8104403248399</v>
      </c>
      <c r="M206" s="7">
        <f>+'tabla financiera '!M202</f>
        <v>2012.8040300418929</v>
      </c>
      <c r="N206" s="7">
        <f t="shared" si="22"/>
        <v>54.006410282946945</v>
      </c>
      <c r="O206" s="23">
        <f t="shared" si="23"/>
        <v>4973.4644079554992</v>
      </c>
      <c r="P206" s="23">
        <f t="shared" si="27"/>
        <v>2012.8040300418929</v>
      </c>
      <c r="Q206" s="7">
        <f t="shared" si="24"/>
        <v>2906.6539676306593</v>
      </c>
      <c r="R206" s="7">
        <f t="shared" si="25"/>
        <v>396251.95065177826</v>
      </c>
    </row>
    <row r="207" spans="1:18">
      <c r="G207" s="7" t="s">
        <v>82</v>
      </c>
      <c r="H207" s="7">
        <f>-'tabla financiera '!N207</f>
        <v>-4973.4644079554992</v>
      </c>
      <c r="I207" s="40">
        <v>202</v>
      </c>
      <c r="J207" s="40">
        <v>198</v>
      </c>
      <c r="K207" s="23">
        <f t="shared" si="26"/>
        <v>396251.95065177826</v>
      </c>
      <c r="L207" s="7">
        <f t="shared" si="21"/>
        <v>2051.7600250333076</v>
      </c>
      <c r="M207" s="7">
        <f>+'tabla financiera '!M203</f>
        <v>1998.0007281523249</v>
      </c>
      <c r="N207" s="7">
        <f t="shared" si="22"/>
        <v>53.759296880982674</v>
      </c>
      <c r="O207" s="23">
        <f t="shared" si="23"/>
        <v>4973.4644079554992</v>
      </c>
      <c r="P207" s="23">
        <f t="shared" si="27"/>
        <v>1998.0007281523249</v>
      </c>
      <c r="Q207" s="7">
        <f t="shared" si="24"/>
        <v>2921.7043829221916</v>
      </c>
      <c r="R207" s="7">
        <f t="shared" si="25"/>
        <v>393330.24626885605</v>
      </c>
    </row>
    <row r="208" spans="1:18">
      <c r="A208" s="23">
        <f>+A32</f>
        <v>0</v>
      </c>
      <c r="G208" s="7" t="s">
        <v>82</v>
      </c>
      <c r="H208" s="7">
        <f>-'tabla financiera '!N208</f>
        <v>-4973.4644079554992</v>
      </c>
      <c r="I208" s="40">
        <v>203</v>
      </c>
      <c r="J208" s="40">
        <v>199</v>
      </c>
      <c r="K208" s="23">
        <f t="shared" si="26"/>
        <v>393330.24626885605</v>
      </c>
      <c r="L208" s="7">
        <f t="shared" si="21"/>
        <v>2036.631679928674</v>
      </c>
      <c r="M208" s="7">
        <f>+'tabla financiera '!M204</f>
        <v>1983.1234097533088</v>
      </c>
      <c r="N208" s="7">
        <f t="shared" si="22"/>
        <v>53.508270175365169</v>
      </c>
      <c r="O208" s="23">
        <f t="shared" si="23"/>
        <v>4973.4644079554992</v>
      </c>
      <c r="P208" s="23">
        <f t="shared" si="27"/>
        <v>1983.1234097533088</v>
      </c>
      <c r="Q208" s="7">
        <f t="shared" si="24"/>
        <v>2936.832728026825</v>
      </c>
      <c r="R208" s="7">
        <f t="shared" si="25"/>
        <v>390393.41354082921</v>
      </c>
    </row>
    <row r="209" spans="7:18">
      <c r="G209" s="7" t="s">
        <v>82</v>
      </c>
      <c r="H209" s="7">
        <f>-'tabla financiera '!N209</f>
        <v>-4973.4644079554992</v>
      </c>
      <c r="I209" s="40">
        <v>204</v>
      </c>
      <c r="J209" s="40">
        <v>200</v>
      </c>
      <c r="K209" s="23">
        <f t="shared" si="26"/>
        <v>390393.41354082921</v>
      </c>
      <c r="L209" s="7">
        <f t="shared" si="21"/>
        <v>2021.4250014967731</v>
      </c>
      <c r="M209" s="7">
        <f>+'tabla financiera '!M205</f>
        <v>1968.1717047622978</v>
      </c>
      <c r="N209" s="7">
        <f t="shared" si="22"/>
        <v>53.253296734475271</v>
      </c>
      <c r="O209" s="23">
        <f t="shared" si="23"/>
        <v>4973.4644079554992</v>
      </c>
      <c r="P209" s="23">
        <f t="shared" si="27"/>
        <v>1968.1717047622978</v>
      </c>
      <c r="Q209" s="7">
        <f t="shared" si="24"/>
        <v>2952.0394064587263</v>
      </c>
      <c r="R209" s="7">
        <f t="shared" si="25"/>
        <v>387441.37413437048</v>
      </c>
    </row>
    <row r="210" spans="7:18">
      <c r="G210" s="7" t="s">
        <v>82</v>
      </c>
      <c r="H210" s="7">
        <f>-'tabla financiera '!N210</f>
        <v>-4973.4644079554992</v>
      </c>
      <c r="I210" s="40">
        <v>205</v>
      </c>
      <c r="J210" s="40">
        <v>201</v>
      </c>
      <c r="K210" s="23">
        <f t="shared" si="26"/>
        <v>387441.37413437048</v>
      </c>
      <c r="L210" s="7">
        <f t="shared" si="21"/>
        <v>2006.1395841340766</v>
      </c>
      <c r="M210" s="7">
        <f>+'tabla financiera '!M206</f>
        <v>1953.1452412463318</v>
      </c>
      <c r="N210" s="7">
        <f t="shared" si="22"/>
        <v>52.994342887744779</v>
      </c>
      <c r="O210" s="23">
        <f t="shared" si="23"/>
        <v>4973.4644079554992</v>
      </c>
      <c r="P210" s="23">
        <f t="shared" si="27"/>
        <v>1953.1452412463318</v>
      </c>
      <c r="Q210" s="7">
        <f t="shared" si="24"/>
        <v>2967.3248238214228</v>
      </c>
      <c r="R210" s="7">
        <f t="shared" si="25"/>
        <v>384474.04931054905</v>
      </c>
    </row>
    <row r="211" spans="7:18">
      <c r="G211" s="7" t="s">
        <v>82</v>
      </c>
      <c r="H211" s="7">
        <f>-'tabla financiera '!N211</f>
        <v>-4973.4644079554992</v>
      </c>
      <c r="I211" s="40">
        <v>206</v>
      </c>
      <c r="J211" s="40">
        <v>202</v>
      </c>
      <c r="K211" s="23">
        <f t="shared" si="26"/>
        <v>384474.04931054905</v>
      </c>
      <c r="L211" s="7">
        <f t="shared" si="21"/>
        <v>1990.7750201368735</v>
      </c>
      <c r="M211" s="7">
        <f>+'tabla financiera '!M207</f>
        <v>1938.043645412786</v>
      </c>
      <c r="N211" s="7">
        <f t="shared" si="22"/>
        <v>52.731374724087573</v>
      </c>
      <c r="O211" s="23">
        <f t="shared" si="23"/>
        <v>4973.4644079554992</v>
      </c>
      <c r="P211" s="23">
        <f t="shared" si="27"/>
        <v>1938.043645412786</v>
      </c>
      <c r="Q211" s="7">
        <f t="shared" si="24"/>
        <v>2982.6893878186256</v>
      </c>
      <c r="R211" s="7">
        <f t="shared" si="25"/>
        <v>381491.35992273042</v>
      </c>
    </row>
    <row r="212" spans="7:18">
      <c r="G212" s="7" t="s">
        <v>82</v>
      </c>
      <c r="H212" s="7">
        <f>-'tabla financiera '!N212</f>
        <v>-4973.4644079554992</v>
      </c>
      <c r="I212" s="40">
        <v>207</v>
      </c>
      <c r="J212" s="40">
        <v>203</v>
      </c>
      <c r="K212" s="23">
        <f t="shared" si="26"/>
        <v>381491.35992273042</v>
      </c>
      <c r="L212" s="7">
        <f t="shared" si="21"/>
        <v>1975.330899690397</v>
      </c>
      <c r="M212" s="7">
        <f>+'tabla financiera '!M208</f>
        <v>1922.8665416000727</v>
      </c>
      <c r="N212" s="7">
        <f t="shared" si="22"/>
        <v>52.464358090324367</v>
      </c>
      <c r="O212" s="23">
        <f t="shared" si="23"/>
        <v>4973.4644079554992</v>
      </c>
      <c r="P212" s="23">
        <f t="shared" si="27"/>
        <v>1922.8665416000727</v>
      </c>
      <c r="Q212" s="7">
        <f t="shared" si="24"/>
        <v>2998.1335082651021</v>
      </c>
      <c r="R212" s="7">
        <f t="shared" si="25"/>
        <v>378493.22641446535</v>
      </c>
    </row>
    <row r="213" spans="7:18">
      <c r="G213" s="7" t="s">
        <v>82</v>
      </c>
      <c r="H213" s="7">
        <f>-'tabla financiera '!N213</f>
        <v>-4973.4644079554992</v>
      </c>
      <c r="I213" s="40">
        <v>208</v>
      </c>
      <c r="J213" s="40">
        <v>204</v>
      </c>
      <c r="K213" s="23">
        <f t="shared" si="26"/>
        <v>378493.22641446535</v>
      </c>
      <c r="L213" s="7">
        <f t="shared" si="21"/>
        <v>1959.8068108578932</v>
      </c>
      <c r="M213" s="7">
        <f>+'tabla financiera '!M209</f>
        <v>1907.6135522682953</v>
      </c>
      <c r="N213" s="7">
        <f t="shared" si="22"/>
        <v>52.193258589597917</v>
      </c>
      <c r="O213" s="23">
        <f t="shared" si="23"/>
        <v>4973.4644079554992</v>
      </c>
      <c r="P213" s="23">
        <f t="shared" si="27"/>
        <v>1907.6135522682953</v>
      </c>
      <c r="Q213" s="7">
        <f t="shared" si="24"/>
        <v>3013.657597097606</v>
      </c>
      <c r="R213" s="7">
        <f t="shared" si="25"/>
        <v>375479.56881736772</v>
      </c>
    </row>
    <row r="214" spans="7:18">
      <c r="G214" s="7" t="s">
        <v>82</v>
      </c>
      <c r="H214" s="7">
        <f>-'tabla financiera '!N214</f>
        <v>-4973.4644079554992</v>
      </c>
      <c r="I214" s="40">
        <v>209</v>
      </c>
      <c r="J214" s="40">
        <v>205</v>
      </c>
      <c r="K214" s="23">
        <f t="shared" si="26"/>
        <v>375479.56881736772</v>
      </c>
      <c r="L214" s="7">
        <f t="shared" si="21"/>
        <v>1944.2023395696326</v>
      </c>
      <c r="M214" s="7">
        <f>+'tabla financiera '!M210</f>
        <v>1892.2842979898592</v>
      </c>
      <c r="N214" s="7">
        <f t="shared" si="22"/>
        <v>51.918041579773444</v>
      </c>
      <c r="O214" s="23">
        <f t="shared" si="23"/>
        <v>4973.4644079554992</v>
      </c>
      <c r="P214" s="23">
        <f t="shared" si="27"/>
        <v>1892.2842979898592</v>
      </c>
      <c r="Q214" s="7">
        <f t="shared" si="24"/>
        <v>3029.2620683858668</v>
      </c>
      <c r="R214" s="7">
        <f t="shared" si="25"/>
        <v>372450.30674898188</v>
      </c>
    </row>
    <row r="215" spans="7:18">
      <c r="G215" s="7" t="s">
        <v>82</v>
      </c>
      <c r="H215" s="7">
        <f>-'tabla financiera '!N215</f>
        <v>-4973.4644079554992</v>
      </c>
      <c r="I215" s="40">
        <v>210</v>
      </c>
      <c r="J215" s="40">
        <v>206</v>
      </c>
      <c r="K215" s="23">
        <f t="shared" si="26"/>
        <v>372450.30674898188</v>
      </c>
      <c r="L215" s="7">
        <f t="shared" si="21"/>
        <v>1928.5170696118685</v>
      </c>
      <c r="M215" s="7">
        <f>+'tabla financiera '!M211</f>
        <v>1876.8783974400312</v>
      </c>
      <c r="N215" s="7">
        <f t="shared" si="22"/>
        <v>51.638672171837243</v>
      </c>
      <c r="O215" s="23">
        <f t="shared" si="23"/>
        <v>4973.4644079554992</v>
      </c>
      <c r="P215" s="23">
        <f t="shared" si="27"/>
        <v>1876.8783974400312</v>
      </c>
      <c r="Q215" s="7">
        <f t="shared" si="24"/>
        <v>3044.9473383436307</v>
      </c>
      <c r="R215" s="7">
        <f t="shared" si="25"/>
        <v>369405.35941063822</v>
      </c>
    </row>
    <row r="216" spans="7:18">
      <c r="G216" s="7" t="s">
        <v>82</v>
      </c>
      <c r="H216" s="7">
        <f>-'tabla financiera '!N216</f>
        <v>-4973.4644079554992</v>
      </c>
      <c r="I216" s="40">
        <v>211</v>
      </c>
      <c r="J216" s="40">
        <v>207</v>
      </c>
      <c r="K216" s="23">
        <f t="shared" si="26"/>
        <v>369405.35941063822</v>
      </c>
      <c r="L216" s="7">
        <f t="shared" si="21"/>
        <v>1912.7505826157319</v>
      </c>
      <c r="M216" s="7">
        <f>+'tabla financiera '!M212</f>
        <v>1861.3954673874539</v>
      </c>
      <c r="N216" s="7">
        <f t="shared" si="22"/>
        <v>51.355115228278009</v>
      </c>
      <c r="O216" s="23">
        <f t="shared" si="23"/>
        <v>4973.4644079554992</v>
      </c>
      <c r="P216" s="23">
        <f t="shared" si="27"/>
        <v>1861.3954673874539</v>
      </c>
      <c r="Q216" s="7">
        <f t="shared" si="24"/>
        <v>3060.713825339767</v>
      </c>
      <c r="R216" s="7">
        <f t="shared" si="25"/>
        <v>366344.64558529848</v>
      </c>
    </row>
    <row r="217" spans="7:18">
      <c r="G217" s="7" t="s">
        <v>82</v>
      </c>
      <c r="H217" s="7">
        <f>-'tabla financiera '!N217</f>
        <v>-4973.4644079554992</v>
      </c>
      <c r="I217" s="40">
        <v>212</v>
      </c>
      <c r="J217" s="40">
        <v>208</v>
      </c>
      <c r="K217" s="23">
        <f t="shared" si="26"/>
        <v>366344.64558529848</v>
      </c>
      <c r="L217" s="7">
        <f t="shared" si="21"/>
        <v>1896.902458046075</v>
      </c>
      <c r="M217" s="7">
        <f>+'tabla financiera '!M213</f>
        <v>1845.8351226846137</v>
      </c>
      <c r="N217" s="7">
        <f t="shared" si="22"/>
        <v>51.067335361461346</v>
      </c>
      <c r="O217" s="23">
        <f t="shared" si="23"/>
        <v>4973.4644079554992</v>
      </c>
      <c r="P217" s="23">
        <f t="shared" si="27"/>
        <v>1845.8351226846137</v>
      </c>
      <c r="Q217" s="7">
        <f t="shared" si="24"/>
        <v>3076.5619499094241</v>
      </c>
      <c r="R217" s="7">
        <f t="shared" si="25"/>
        <v>363268.08363538905</v>
      </c>
    </row>
    <row r="218" spans="7:18">
      <c r="G218" s="7" t="s">
        <v>82</v>
      </c>
      <c r="H218" s="7">
        <f>-'tabla financiera '!N218</f>
        <v>-4973.4644079554992</v>
      </c>
      <c r="I218" s="40">
        <v>213</v>
      </c>
      <c r="J218" s="40">
        <v>209</v>
      </c>
      <c r="K218" s="23">
        <f t="shared" si="26"/>
        <v>363268.08363538905</v>
      </c>
      <c r="L218" s="7">
        <f t="shared" si="21"/>
        <v>1880.9722731902534</v>
      </c>
      <c r="M218" s="7">
        <f>+'tabla financiera '!M214</f>
        <v>1830.1969762582594</v>
      </c>
      <c r="N218" s="7">
        <f t="shared" si="22"/>
        <v>50.775296931994035</v>
      </c>
      <c r="O218" s="23">
        <f t="shared" si="23"/>
        <v>4973.4644079554992</v>
      </c>
      <c r="P218" s="23">
        <f t="shared" si="27"/>
        <v>1830.1969762582594</v>
      </c>
      <c r="Q218" s="7">
        <f t="shared" si="24"/>
        <v>3092.4921347652457</v>
      </c>
      <c r="R218" s="7">
        <f t="shared" si="25"/>
        <v>360175.59150062379</v>
      </c>
    </row>
    <row r="219" spans="7:18">
      <c r="G219" s="7" t="s">
        <v>82</v>
      </c>
      <c r="H219" s="7">
        <f>-'tabla financiera '!N219</f>
        <v>-4973.4644079554992</v>
      </c>
      <c r="I219" s="40">
        <v>214</v>
      </c>
      <c r="J219" s="40">
        <v>210</v>
      </c>
      <c r="K219" s="23">
        <f t="shared" si="26"/>
        <v>360175.59150062379</v>
      </c>
      <c r="L219" s="7">
        <f t="shared" si="21"/>
        <v>1864.9596031468518</v>
      </c>
      <c r="M219" s="7">
        <f>+'tabla financiera '!M215</f>
        <v>1814.4806390997733</v>
      </c>
      <c r="N219" s="7">
        <f t="shared" si="22"/>
        <v>50.478964047078534</v>
      </c>
      <c r="O219" s="23">
        <f t="shared" si="23"/>
        <v>4973.4644079554992</v>
      </c>
      <c r="P219" s="23">
        <f t="shared" si="27"/>
        <v>1814.4806390997733</v>
      </c>
      <c r="Q219" s="7">
        <f t="shared" si="24"/>
        <v>3108.5048048086474</v>
      </c>
      <c r="R219" s="7">
        <f t="shared" si="25"/>
        <v>357067.08669581515</v>
      </c>
    </row>
    <row r="220" spans="7:18">
      <c r="G220" s="7" t="s">
        <v>82</v>
      </c>
      <c r="H220" s="7">
        <f>-'tabla financiera '!N220</f>
        <v>-4973.4644079554992</v>
      </c>
      <c r="I220" s="40">
        <v>215</v>
      </c>
      <c r="J220" s="40">
        <v>211</v>
      </c>
      <c r="K220" s="23">
        <f t="shared" si="26"/>
        <v>357067.08669581515</v>
      </c>
      <c r="L220" s="7">
        <f t="shared" si="21"/>
        <v>1848.8640208143493</v>
      </c>
      <c r="M220" s="7">
        <f>+'tabla financiera '!M216</f>
        <v>1798.6857202554945</v>
      </c>
      <c r="N220" s="7">
        <f t="shared" si="22"/>
        <v>50.178300558854744</v>
      </c>
      <c r="O220" s="23">
        <f t="shared" si="23"/>
        <v>4973.4644079554992</v>
      </c>
      <c r="P220" s="23">
        <f t="shared" si="27"/>
        <v>1798.6857202554945</v>
      </c>
      <c r="Q220" s="7">
        <f t="shared" si="24"/>
        <v>3124.6003871411499</v>
      </c>
      <c r="R220" s="7">
        <f t="shared" si="25"/>
        <v>353942.48630867398</v>
      </c>
    </row>
    <row r="221" spans="7:18">
      <c r="G221" s="7" t="s">
        <v>82</v>
      </c>
      <c r="H221" s="7">
        <f>-'tabla financiera '!N221</f>
        <v>-4973.4644079554992</v>
      </c>
      <c r="I221" s="40">
        <v>216</v>
      </c>
      <c r="J221" s="40">
        <v>212</v>
      </c>
      <c r="K221" s="23">
        <f t="shared" si="26"/>
        <v>353942.48630867398</v>
      </c>
      <c r="L221" s="7">
        <f t="shared" si="21"/>
        <v>1832.6850968797296</v>
      </c>
      <c r="M221" s="7">
        <f>+'tabla financiera '!M217</f>
        <v>1782.8118268169947</v>
      </c>
      <c r="N221" s="7">
        <f t="shared" si="22"/>
        <v>49.873270062734946</v>
      </c>
      <c r="O221" s="23">
        <f t="shared" si="23"/>
        <v>4973.4644079554992</v>
      </c>
      <c r="P221" s="23">
        <f t="shared" si="27"/>
        <v>1782.8118268169947</v>
      </c>
      <c r="Q221" s="7">
        <f t="shared" si="24"/>
        <v>3140.7793110757693</v>
      </c>
      <c r="R221" s="7">
        <f t="shared" si="25"/>
        <v>350801.70699759823</v>
      </c>
    </row>
    <row r="222" spans="7:18">
      <c r="G222" s="7" t="s">
        <v>82</v>
      </c>
      <c r="H222" s="7">
        <f>-'tabla financiera '!N222</f>
        <v>-4973.4644079554992</v>
      </c>
      <c r="I222" s="40">
        <v>217</v>
      </c>
      <c r="J222" s="40">
        <v>213</v>
      </c>
      <c r="K222" s="23">
        <f t="shared" si="26"/>
        <v>350801.70699759823</v>
      </c>
      <c r="L222" s="7">
        <f t="shared" si="21"/>
        <v>1816.4223998070281</v>
      </c>
      <c r="M222" s="7">
        <f>+'tabla financiera '!M218</f>
        <v>1766.8585639113023</v>
      </c>
      <c r="N222" s="7">
        <f t="shared" si="22"/>
        <v>49.563835895725788</v>
      </c>
      <c r="O222" s="23">
        <f t="shared" si="23"/>
        <v>4973.4644079554992</v>
      </c>
      <c r="P222" s="23">
        <f t="shared" si="27"/>
        <v>1766.8585639113023</v>
      </c>
      <c r="Q222" s="7">
        <f t="shared" si="24"/>
        <v>3157.0420081484708</v>
      </c>
      <c r="R222" s="7">
        <f t="shared" si="25"/>
        <v>347644.66498944978</v>
      </c>
    </row>
    <row r="223" spans="7:18">
      <c r="G223" s="7" t="s">
        <v>82</v>
      </c>
      <c r="H223" s="7">
        <f>-'tabla financiera '!N223</f>
        <v>-4973.4644079554992</v>
      </c>
      <c r="I223" s="40">
        <v>218</v>
      </c>
      <c r="J223" s="40">
        <v>214</v>
      </c>
      <c r="K223" s="23">
        <f t="shared" si="26"/>
        <v>347644.66498944978</v>
      </c>
      <c r="L223" s="7">
        <f t="shared" si="21"/>
        <v>1800.0754958258231</v>
      </c>
      <c r="M223" s="7">
        <f>+'tabla financiera '!M219</f>
        <v>1750.8255346910812</v>
      </c>
      <c r="N223" s="7">
        <f t="shared" si="22"/>
        <v>49.249961134741852</v>
      </c>
      <c r="O223" s="23">
        <f t="shared" si="23"/>
        <v>4973.4644079554992</v>
      </c>
      <c r="P223" s="23">
        <f t="shared" si="27"/>
        <v>1750.8255346910812</v>
      </c>
      <c r="Q223" s="7">
        <f t="shared" si="24"/>
        <v>3173.3889121296761</v>
      </c>
      <c r="R223" s="7">
        <f t="shared" si="25"/>
        <v>344471.2760773201</v>
      </c>
    </row>
    <row r="224" spans="7:18">
      <c r="G224" s="7" t="s">
        <v>82</v>
      </c>
      <c r="H224" s="7">
        <f>-'tabla financiera '!N224</f>
        <v>-4973.4644079554992</v>
      </c>
      <c r="I224" s="40">
        <v>219</v>
      </c>
      <c r="J224" s="40">
        <v>215</v>
      </c>
      <c r="K224" s="23">
        <f t="shared" si="26"/>
        <v>344471.2760773201</v>
      </c>
      <c r="L224" s="7">
        <f t="shared" si="21"/>
        <v>1783.6439489196644</v>
      </c>
      <c r="M224" s="7">
        <f>+'tabla financiera '!M220</f>
        <v>1734.7123403247592</v>
      </c>
      <c r="N224" s="7">
        <f t="shared" si="22"/>
        <v>48.931608594905128</v>
      </c>
      <c r="O224" s="23">
        <f t="shared" si="23"/>
        <v>4973.4644079554992</v>
      </c>
      <c r="P224" s="23">
        <f t="shared" si="27"/>
        <v>1734.7123403247592</v>
      </c>
      <c r="Q224" s="7">
        <f t="shared" si="24"/>
        <v>3189.8204590358346</v>
      </c>
      <c r="R224" s="7">
        <f t="shared" si="25"/>
        <v>341281.45561828429</v>
      </c>
    </row>
    <row r="225" spans="7:18">
      <c r="G225" s="7" t="s">
        <v>82</v>
      </c>
      <c r="H225" s="7">
        <f>-'tabla financiera '!N225</f>
        <v>-4973.4644079554992</v>
      </c>
      <c r="I225" s="40">
        <v>220</v>
      </c>
      <c r="J225" s="40">
        <v>216</v>
      </c>
      <c r="K225" s="23">
        <f t="shared" si="26"/>
        <v>341281.45561828429</v>
      </c>
      <c r="L225" s="7">
        <f t="shared" si="21"/>
        <v>1767.1273208144451</v>
      </c>
      <c r="M225" s="7">
        <f>+'tabla financiera '!M221</f>
        <v>1718.5185799866053</v>
      </c>
      <c r="N225" s="7">
        <f t="shared" si="22"/>
        <v>48.608740827839711</v>
      </c>
      <c r="O225" s="23">
        <f t="shared" si="23"/>
        <v>4973.4644079554992</v>
      </c>
      <c r="P225" s="23">
        <f t="shared" si="27"/>
        <v>1718.5185799866053</v>
      </c>
      <c r="Q225" s="7">
        <f t="shared" si="24"/>
        <v>3206.3370871410543</v>
      </c>
      <c r="R225" s="7">
        <f t="shared" si="25"/>
        <v>338075.11853114323</v>
      </c>
    </row>
    <row r="226" spans="7:18">
      <c r="G226" s="7" t="s">
        <v>82</v>
      </c>
      <c r="H226" s="7">
        <f>-'tabla financiera '!N226</f>
        <v>-4973.4644079554992</v>
      </c>
      <c r="I226" s="40">
        <v>221</v>
      </c>
      <c r="J226" s="40">
        <v>217</v>
      </c>
      <c r="K226" s="23">
        <f t="shared" si="26"/>
        <v>338075.11853114323</v>
      </c>
      <c r="L226" s="7">
        <f t="shared" si="21"/>
        <v>1750.5251709667111</v>
      </c>
      <c r="M226" s="7">
        <f>+'tabla financiera '!M222</f>
        <v>1702.243850846761</v>
      </c>
      <c r="N226" s="7">
        <f t="shared" si="22"/>
        <v>48.281320119950124</v>
      </c>
      <c r="O226" s="23">
        <f t="shared" si="23"/>
        <v>4973.4644079554992</v>
      </c>
      <c r="P226" s="23">
        <f t="shared" si="27"/>
        <v>1702.243850846761</v>
      </c>
      <c r="Q226" s="7">
        <f t="shared" si="24"/>
        <v>3222.9392369887883</v>
      </c>
      <c r="R226" s="7">
        <f t="shared" si="25"/>
        <v>334852.17929415446</v>
      </c>
    </row>
    <row r="227" spans="7:18">
      <c r="G227" s="7" t="s">
        <v>82</v>
      </c>
      <c r="H227" s="7">
        <f>-'tabla financiera '!N227</f>
        <v>-4973.4644079554992</v>
      </c>
      <c r="I227" s="40">
        <v>222</v>
      </c>
      <c r="J227" s="40">
        <v>218</v>
      </c>
      <c r="K227" s="23">
        <f t="shared" si="26"/>
        <v>334852.17929415446</v>
      </c>
      <c r="L227" s="7">
        <f t="shared" si="21"/>
        <v>1733.8370565519101</v>
      </c>
      <c r="M227" s="7">
        <f>+'tabla financiera '!M223</f>
        <v>1685.8877480612173</v>
      </c>
      <c r="N227" s="7">
        <f t="shared" si="22"/>
        <v>47.949308490692829</v>
      </c>
      <c r="O227" s="23">
        <f t="shared" si="23"/>
        <v>4973.4644079554992</v>
      </c>
      <c r="P227" s="23">
        <f t="shared" si="27"/>
        <v>1685.8877480612173</v>
      </c>
      <c r="Q227" s="7">
        <f t="shared" si="24"/>
        <v>3239.6273514035893</v>
      </c>
      <c r="R227" s="7">
        <f t="shared" si="25"/>
        <v>331612.55194275087</v>
      </c>
    </row>
    <row r="228" spans="7:18">
      <c r="G228" s="7" t="s">
        <v>82</v>
      </c>
      <c r="H228" s="7">
        <f>-'tabla financiera '!N228</f>
        <v>-4973.4644079554992</v>
      </c>
      <c r="I228" s="40">
        <v>223</v>
      </c>
      <c r="J228" s="40">
        <v>219</v>
      </c>
      <c r="K228" s="23">
        <f t="shared" si="26"/>
        <v>331612.55194275087</v>
      </c>
      <c r="L228" s="7">
        <f t="shared" si="21"/>
        <v>1717.0625324525811</v>
      </c>
      <c r="M228" s="7">
        <f>+'tabla financiera '!M224</f>
        <v>1669.4498647617459</v>
      </c>
      <c r="N228" s="7">
        <f t="shared" si="22"/>
        <v>47.612667690835224</v>
      </c>
      <c r="O228" s="23">
        <f t="shared" si="23"/>
        <v>4973.4644079554992</v>
      </c>
      <c r="P228" s="23">
        <f t="shared" si="27"/>
        <v>1669.4498647617459</v>
      </c>
      <c r="Q228" s="7">
        <f t="shared" si="24"/>
        <v>3256.4018755029183</v>
      </c>
      <c r="R228" s="7">
        <f t="shared" si="25"/>
        <v>328356.15006724797</v>
      </c>
    </row>
    <row r="229" spans="7:18">
      <c r="G229" s="7" t="s">
        <v>82</v>
      </c>
      <c r="H229" s="7">
        <f>-'tabla financiera '!N229</f>
        <v>-4973.4644079554992</v>
      </c>
      <c r="I229" s="40">
        <v>224</v>
      </c>
      <c r="J229" s="40">
        <v>220</v>
      </c>
      <c r="K229" s="23">
        <f t="shared" si="26"/>
        <v>328356.15006724797</v>
      </c>
      <c r="L229" s="7">
        <f t="shared" si="21"/>
        <v>1700.201151246481</v>
      </c>
      <c r="M229" s="7">
        <f>+'tabla financiera '!M225</f>
        <v>1652.9297920457773</v>
      </c>
      <c r="N229" s="7">
        <f t="shared" si="22"/>
        <v>47.271359200703728</v>
      </c>
      <c r="O229" s="23">
        <f t="shared" si="23"/>
        <v>4973.4644079554992</v>
      </c>
      <c r="P229" s="23">
        <f t="shared" si="27"/>
        <v>1652.9297920457773</v>
      </c>
      <c r="Q229" s="7">
        <f t="shared" si="24"/>
        <v>3273.2632567090182</v>
      </c>
      <c r="R229" s="7">
        <f t="shared" si="25"/>
        <v>325082.88681053894</v>
      </c>
    </row>
    <row r="230" spans="7:18">
      <c r="G230" s="7" t="s">
        <v>82</v>
      </c>
      <c r="H230" s="7">
        <f>-'tabla financiera '!N230</f>
        <v>-4973.4644079554992</v>
      </c>
      <c r="I230" s="40">
        <v>225</v>
      </c>
      <c r="J230" s="40">
        <v>221</v>
      </c>
      <c r="K230" s="23">
        <f t="shared" si="26"/>
        <v>325082.88681053894</v>
      </c>
      <c r="L230" s="7">
        <f t="shared" si="21"/>
        <v>1683.2524631946517</v>
      </c>
      <c r="M230" s="7">
        <f>+'tabla financiera '!M226</f>
        <v>1636.3271189662285</v>
      </c>
      <c r="N230" s="7">
        <f t="shared" si="22"/>
        <v>46.925344228423228</v>
      </c>
      <c r="O230" s="23">
        <f t="shared" si="23"/>
        <v>4973.4644079554992</v>
      </c>
      <c r="P230" s="23">
        <f t="shared" si="27"/>
        <v>1636.3271189662285</v>
      </c>
      <c r="Q230" s="7">
        <f t="shared" si="24"/>
        <v>3290.2119447608475</v>
      </c>
      <c r="R230" s="7">
        <f t="shared" si="25"/>
        <v>321792.67486577807</v>
      </c>
    </row>
    <row r="231" spans="7:18">
      <c r="G231" s="7" t="s">
        <v>82</v>
      </c>
      <c r="H231" s="7">
        <f>-'tabla financiera '!N231</f>
        <v>-4973.4644079554992</v>
      </c>
      <c r="I231" s="40">
        <v>226</v>
      </c>
      <c r="J231" s="40">
        <v>222</v>
      </c>
      <c r="K231" s="23">
        <f t="shared" si="26"/>
        <v>321792.67486577807</v>
      </c>
      <c r="L231" s="7">
        <f t="shared" si="21"/>
        <v>1666.2160162294228</v>
      </c>
      <c r="M231" s="7">
        <f>+'tabla financiera '!M227</f>
        <v>1619.6414325212822</v>
      </c>
      <c r="N231" s="7">
        <f t="shared" si="22"/>
        <v>46.574583708140608</v>
      </c>
      <c r="O231" s="23">
        <f t="shared" si="23"/>
        <v>4973.4644079554992</v>
      </c>
      <c r="P231" s="23">
        <f t="shared" si="27"/>
        <v>1619.6414325212822</v>
      </c>
      <c r="Q231" s="7">
        <f t="shared" si="24"/>
        <v>3307.2483917260761</v>
      </c>
      <c r="R231" s="7">
        <f t="shared" si="25"/>
        <v>318485.42647405202</v>
      </c>
    </row>
    <row r="232" spans="7:18">
      <c r="G232" s="7" t="s">
        <v>82</v>
      </c>
      <c r="H232" s="7">
        <f>-'tabla financiera '!N232</f>
        <v>-4973.4644079554992</v>
      </c>
      <c r="I232" s="40">
        <v>227</v>
      </c>
      <c r="J232" s="40">
        <v>223</v>
      </c>
      <c r="K232" s="23">
        <f t="shared" si="26"/>
        <v>318485.42647405202</v>
      </c>
      <c r="L232" s="7">
        <f t="shared" si="21"/>
        <v>1649.0913559423561</v>
      </c>
      <c r="M232" s="7">
        <f>+'tabla financiera '!M228</f>
        <v>1602.8723176441113</v>
      </c>
      <c r="N232" s="7">
        <f t="shared" si="22"/>
        <v>46.219038298244868</v>
      </c>
      <c r="O232" s="23">
        <f t="shared" si="23"/>
        <v>4973.4644079554992</v>
      </c>
      <c r="P232" s="23">
        <f t="shared" si="27"/>
        <v>1602.8723176441113</v>
      </c>
      <c r="Q232" s="7">
        <f t="shared" si="24"/>
        <v>3324.373052013143</v>
      </c>
      <c r="R232" s="7">
        <f t="shared" si="25"/>
        <v>315161.05342203885</v>
      </c>
    </row>
    <row r="233" spans="7:18">
      <c r="G233" s="7" t="s">
        <v>82</v>
      </c>
      <c r="H233" s="7">
        <f>-'tabla financiera '!N233</f>
        <v>-4973.4644079554992</v>
      </c>
      <c r="I233" s="40">
        <v>228</v>
      </c>
      <c r="J233" s="40">
        <v>224</v>
      </c>
      <c r="K233" s="23">
        <f t="shared" si="26"/>
        <v>315161.05342203885</v>
      </c>
      <c r="L233" s="7">
        <f t="shared" si="21"/>
        <v>1631.8780255721224</v>
      </c>
      <c r="M233" s="7">
        <f>+'tabla financiera '!M229</f>
        <v>1586.0193571925543</v>
      </c>
      <c r="N233" s="7">
        <f t="shared" si="22"/>
        <v>45.858668379568144</v>
      </c>
      <c r="O233" s="23">
        <f t="shared" si="23"/>
        <v>4973.4644079554992</v>
      </c>
      <c r="P233" s="23">
        <f t="shared" si="27"/>
        <v>1586.0193571925543</v>
      </c>
      <c r="Q233" s="7">
        <f t="shared" si="24"/>
        <v>3341.586382383377</v>
      </c>
      <c r="R233" s="7">
        <f t="shared" si="25"/>
        <v>311819.46703965549</v>
      </c>
    </row>
    <row r="234" spans="7:18">
      <c r="G234" s="7" t="s">
        <v>82</v>
      </c>
      <c r="H234" s="7">
        <f>-'tabla financiera '!N234</f>
        <v>-4973.4644079554992</v>
      </c>
      <c r="I234" s="40">
        <v>229</v>
      </c>
      <c r="J234" s="40">
        <v>225</v>
      </c>
      <c r="K234" s="23">
        <f t="shared" si="26"/>
        <v>311819.46703965549</v>
      </c>
      <c r="L234" s="7">
        <f t="shared" si="21"/>
        <v>1614.5755659923211</v>
      </c>
      <c r="M234" s="7">
        <f>+'tabla financiera '!M230</f>
        <v>1569.0821319387394</v>
      </c>
      <c r="N234" s="7">
        <f t="shared" si="22"/>
        <v>45.493434053581723</v>
      </c>
      <c r="O234" s="23">
        <f t="shared" si="23"/>
        <v>4973.4644079554992</v>
      </c>
      <c r="P234" s="23">
        <f t="shared" si="27"/>
        <v>1569.0821319387394</v>
      </c>
      <c r="Q234" s="7">
        <f t="shared" si="24"/>
        <v>3358.888841963178</v>
      </c>
      <c r="R234" s="7">
        <f t="shared" si="25"/>
        <v>308460.57819769229</v>
      </c>
    </row>
    <row r="235" spans="7:18">
      <c r="G235" s="7" t="s">
        <v>82</v>
      </c>
      <c r="H235" s="7">
        <f>-'tabla financiera '!N235</f>
        <v>-4973.4644079554992</v>
      </c>
      <c r="I235" s="40">
        <v>230</v>
      </c>
      <c r="J235" s="40">
        <v>226</v>
      </c>
      <c r="K235" s="23">
        <f t="shared" si="26"/>
        <v>308460.57819769229</v>
      </c>
      <c r="L235" s="7">
        <f t="shared" si="21"/>
        <v>1597.1835156992317</v>
      </c>
      <c r="M235" s="7">
        <f>+'tabla financiera '!M231</f>
        <v>1552.0602205586556</v>
      </c>
      <c r="N235" s="7">
        <f t="shared" si="22"/>
        <v>45.123295140576147</v>
      </c>
      <c r="O235" s="23">
        <f t="shared" si="23"/>
        <v>4973.4644079554992</v>
      </c>
      <c r="P235" s="23">
        <f t="shared" si="27"/>
        <v>1552.0602205586556</v>
      </c>
      <c r="Q235" s="7">
        <f t="shared" si="24"/>
        <v>3376.2808922562672</v>
      </c>
      <c r="R235" s="7">
        <f t="shared" si="25"/>
        <v>305084.29730543605</v>
      </c>
    </row>
    <row r="236" spans="7:18">
      <c r="G236" s="7" t="s">
        <v>82</v>
      </c>
      <c r="H236" s="7">
        <f>-'tabla financiera '!N236</f>
        <v>-4973.4644079554992</v>
      </c>
      <c r="I236" s="40">
        <v>231</v>
      </c>
      <c r="J236" s="40">
        <v>227</v>
      </c>
      <c r="K236" s="23">
        <f t="shared" si="26"/>
        <v>305084.29730543605</v>
      </c>
      <c r="L236" s="7">
        <f t="shared" si="21"/>
        <v>1579.7014107995064</v>
      </c>
      <c r="M236" s="7">
        <f>+'tabla financiera '!M232</f>
        <v>1534.9531996216713</v>
      </c>
      <c r="N236" s="7">
        <f t="shared" si="22"/>
        <v>44.748211177835174</v>
      </c>
      <c r="O236" s="23">
        <f t="shared" si="23"/>
        <v>4973.4644079554992</v>
      </c>
      <c r="P236" s="23">
        <f t="shared" si="27"/>
        <v>1534.9531996216713</v>
      </c>
      <c r="Q236" s="7">
        <f t="shared" si="24"/>
        <v>3393.7629971559927</v>
      </c>
      <c r="R236" s="7">
        <f t="shared" si="25"/>
        <v>301690.53430828004</v>
      </c>
    </row>
    <row r="237" spans="7:18">
      <c r="G237" s="7" t="s">
        <v>82</v>
      </c>
      <c r="H237" s="7">
        <f>-'tabla financiera '!N237</f>
        <v>-4973.4644079554992</v>
      </c>
      <c r="I237" s="40">
        <v>232</v>
      </c>
      <c r="J237" s="40">
        <v>228</v>
      </c>
      <c r="K237" s="23">
        <f t="shared" si="26"/>
        <v>301690.53430828004</v>
      </c>
      <c r="L237" s="7">
        <f t="shared" si="21"/>
        <v>1562.128784997795</v>
      </c>
      <c r="M237" s="7">
        <f>+'tabla financiera '!M233</f>
        <v>1517.7606435800021</v>
      </c>
      <c r="N237" s="7">
        <f t="shared" si="22"/>
        <v>44.368141417792913</v>
      </c>
      <c r="O237" s="23">
        <f t="shared" si="23"/>
        <v>4973.4644079554992</v>
      </c>
      <c r="P237" s="23">
        <f t="shared" si="27"/>
        <v>1517.7606435800021</v>
      </c>
      <c r="Q237" s="7">
        <f t="shared" si="24"/>
        <v>3411.3356229577039</v>
      </c>
      <c r="R237" s="7">
        <f t="shared" si="25"/>
        <v>298279.19868532231</v>
      </c>
    </row>
    <row r="238" spans="7:18">
      <c r="G238" s="7" t="s">
        <v>82</v>
      </c>
      <c r="H238" s="7">
        <f>-'tabla financiera '!N238</f>
        <v>-4973.4644079554992</v>
      </c>
      <c r="I238" s="40">
        <v>233</v>
      </c>
      <c r="J238" s="40">
        <v>229</v>
      </c>
      <c r="K238" s="23">
        <f t="shared" si="26"/>
        <v>298279.19868532231</v>
      </c>
      <c r="L238" s="7">
        <f t="shared" si="21"/>
        <v>1544.4651695843088</v>
      </c>
      <c r="M238" s="7">
        <f>+'tabla financiera '!M234</f>
        <v>1500.4821247581247</v>
      </c>
      <c r="N238" s="7">
        <f t="shared" si="22"/>
        <v>43.983044826184141</v>
      </c>
      <c r="O238" s="23">
        <f t="shared" si="23"/>
        <v>4973.4644079554992</v>
      </c>
      <c r="P238" s="23">
        <f t="shared" si="27"/>
        <v>1500.4821247581247</v>
      </c>
      <c r="Q238" s="7">
        <f t="shared" si="24"/>
        <v>3428.9992383711906</v>
      </c>
      <c r="R238" s="7">
        <f t="shared" si="25"/>
        <v>294850.1994469511</v>
      </c>
    </row>
    <row r="239" spans="7:18">
      <c r="G239" s="7" t="s">
        <v>82</v>
      </c>
      <c r="H239" s="7">
        <f>-'tabla financiera '!N239</f>
        <v>-4973.4644079554992</v>
      </c>
      <c r="I239" s="40">
        <v>234</v>
      </c>
      <c r="J239" s="40">
        <v>230</v>
      </c>
      <c r="K239" s="23">
        <f t="shared" si="26"/>
        <v>294850.1994469511</v>
      </c>
      <c r="L239" s="7">
        <f t="shared" si="21"/>
        <v>1526.7100934223181</v>
      </c>
      <c r="M239" s="7">
        <f>+'tabla financiera '!M235</f>
        <v>1483.1172133421378</v>
      </c>
      <c r="N239" s="7">
        <f t="shared" si="22"/>
        <v>43.592880080180294</v>
      </c>
      <c r="O239" s="23">
        <f t="shared" si="23"/>
        <v>4973.4644079554992</v>
      </c>
      <c r="P239" s="23">
        <f t="shared" si="27"/>
        <v>1483.1172133421378</v>
      </c>
      <c r="Q239" s="7">
        <f t="shared" si="24"/>
        <v>3446.7543145331811</v>
      </c>
      <c r="R239" s="7">
        <f t="shared" si="25"/>
        <v>291403.4451324179</v>
      </c>
    </row>
    <row r="240" spans="7:18">
      <c r="G240" s="7" t="s">
        <v>82</v>
      </c>
      <c r="H240" s="7">
        <f>-'tabla financiera '!N240</f>
        <v>-4973.4644079554992</v>
      </c>
      <c r="I240" s="40">
        <v>235</v>
      </c>
      <c r="J240" s="40">
        <v>231</v>
      </c>
      <c r="K240" s="23">
        <f t="shared" si="26"/>
        <v>291403.4451324179</v>
      </c>
      <c r="L240" s="7">
        <f t="shared" si="21"/>
        <v>1508.8630829355859</v>
      </c>
      <c r="M240" s="7">
        <f>+'tabla financiera '!M236</f>
        <v>1465.6654773690709</v>
      </c>
      <c r="N240" s="7">
        <f t="shared" si="22"/>
        <v>43.197605566514994</v>
      </c>
      <c r="O240" s="23">
        <f t="shared" si="23"/>
        <v>4973.4644079554992</v>
      </c>
      <c r="P240" s="23">
        <f t="shared" si="27"/>
        <v>1465.6654773690709</v>
      </c>
      <c r="Q240" s="7">
        <f t="shared" si="24"/>
        <v>3464.601325019913</v>
      </c>
      <c r="R240" s="7">
        <f t="shared" si="25"/>
        <v>287938.84380739799</v>
      </c>
    </row>
    <row r="241" spans="7:18">
      <c r="G241" s="7" t="s">
        <v>82</v>
      </c>
      <c r="H241" s="7">
        <f>-'tabla financiera '!N241</f>
        <v>-4973.4644079554992</v>
      </c>
      <c r="I241" s="40">
        <v>236</v>
      </c>
      <c r="J241" s="40">
        <v>232</v>
      </c>
      <c r="K241" s="23">
        <f t="shared" si="26"/>
        <v>287938.84380739799</v>
      </c>
      <c r="L241" s="7">
        <f t="shared" si="21"/>
        <v>1490.9236620957372</v>
      </c>
      <c r="M241" s="7">
        <f>+'tabla financiera '!M237</f>
        <v>1448.1264827161388</v>
      </c>
      <c r="N241" s="7">
        <f t="shared" si="22"/>
        <v>42.797179379598447</v>
      </c>
      <c r="O241" s="23">
        <f t="shared" si="23"/>
        <v>4973.4644079554992</v>
      </c>
      <c r="P241" s="23">
        <f t="shared" si="27"/>
        <v>1448.1264827161388</v>
      </c>
      <c r="Q241" s="7">
        <f t="shared" si="24"/>
        <v>3482.540745859762</v>
      </c>
      <c r="R241" s="7">
        <f t="shared" si="25"/>
        <v>284456.30306153826</v>
      </c>
    </row>
    <row r="242" spans="7:18">
      <c r="G242" s="7" t="s">
        <v>82</v>
      </c>
      <c r="H242" s="7">
        <f>-'tabla financiera '!N242</f>
        <v>-4973.4644079554992</v>
      </c>
      <c r="I242" s="40">
        <v>237</v>
      </c>
      <c r="J242" s="40">
        <v>233</v>
      </c>
      <c r="K242" s="23">
        <f t="shared" si="26"/>
        <v>284456.30306153826</v>
      </c>
      <c r="L242" s="7">
        <f t="shared" si="21"/>
        <v>1472.8913524095599</v>
      </c>
      <c r="M242" s="7">
        <f>+'tabla financiera '!M238</f>
        <v>1430.4997930899419</v>
      </c>
      <c r="N242" s="7">
        <f t="shared" si="22"/>
        <v>42.391559319617954</v>
      </c>
      <c r="O242" s="23">
        <f t="shared" si="23"/>
        <v>4973.4644079554992</v>
      </c>
      <c r="P242" s="23">
        <f t="shared" si="27"/>
        <v>1430.4997930899419</v>
      </c>
      <c r="Q242" s="7">
        <f t="shared" si="24"/>
        <v>3500.5730555459395</v>
      </c>
      <c r="R242" s="7">
        <f t="shared" si="25"/>
        <v>280955.73000599234</v>
      </c>
    </row>
    <row r="243" spans="7:18">
      <c r="G243" s="7" t="s">
        <v>82</v>
      </c>
      <c r="H243" s="7">
        <f>-'tabla financiera '!N243</f>
        <v>-4973.4644079554992</v>
      </c>
      <c r="I243" s="40">
        <v>238</v>
      </c>
      <c r="J243" s="40">
        <v>234</v>
      </c>
      <c r="K243" s="23">
        <f t="shared" si="26"/>
        <v>280955.73000599234</v>
      </c>
      <c r="L243" s="7">
        <f t="shared" si="21"/>
        <v>1454.7656729062442</v>
      </c>
      <c r="M243" s="7">
        <f>+'tabla financiera '!M239</f>
        <v>1412.7849700156144</v>
      </c>
      <c r="N243" s="7">
        <f t="shared" si="22"/>
        <v>41.9807028906298</v>
      </c>
      <c r="O243" s="23">
        <f t="shared" si="23"/>
        <v>4973.4644079554992</v>
      </c>
      <c r="P243" s="23">
        <f t="shared" si="27"/>
        <v>1412.7849700156144</v>
      </c>
      <c r="Q243" s="7">
        <f t="shared" si="24"/>
        <v>3518.698735049255</v>
      </c>
      <c r="R243" s="7">
        <f t="shared" si="25"/>
        <v>277437.03127094312</v>
      </c>
    </row>
    <row r="244" spans="7:18">
      <c r="G244" s="7" t="s">
        <v>82</v>
      </c>
      <c r="H244" s="7">
        <f>-'tabla financiera '!N244</f>
        <v>-4973.4644079554992</v>
      </c>
      <c r="I244" s="40">
        <v>239</v>
      </c>
      <c r="J244" s="40">
        <v>235</v>
      </c>
      <c r="K244" s="23">
        <f t="shared" si="26"/>
        <v>277437.03127094312</v>
      </c>
      <c r="L244" s="7">
        <f t="shared" si="21"/>
        <v>1436.5461401245527</v>
      </c>
      <c r="M244" s="7">
        <f>+'tabla financiera '!M240</f>
        <v>1394.9815728259148</v>
      </c>
      <c r="N244" s="7">
        <f t="shared" si="22"/>
        <v>41.56456729863794</v>
      </c>
      <c r="O244" s="23">
        <f t="shared" si="23"/>
        <v>4973.4644079554992</v>
      </c>
      <c r="P244" s="23">
        <f t="shared" si="27"/>
        <v>1394.9815728259148</v>
      </c>
      <c r="Q244" s="7">
        <f t="shared" si="24"/>
        <v>3536.9182678309462</v>
      </c>
      <c r="R244" s="7">
        <f t="shared" si="25"/>
        <v>273900.11300311214</v>
      </c>
    </row>
    <row r="245" spans="7:18">
      <c r="G245" s="7" t="s">
        <v>82</v>
      </c>
      <c r="H245" s="7">
        <f>-'tabla financiera '!N245</f>
        <v>-4973.4644079554992</v>
      </c>
      <c r="I245" s="40">
        <v>240</v>
      </c>
      <c r="J245" s="40">
        <v>236</v>
      </c>
      <c r="K245" s="23">
        <f t="shared" si="26"/>
        <v>273900.11300311214</v>
      </c>
      <c r="L245" s="7">
        <f t="shared" si="21"/>
        <v>1418.2322680999252</v>
      </c>
      <c r="M245" s="7">
        <f>+'tabla financiera '!M241</f>
        <v>1377.0891586502669</v>
      </c>
      <c r="N245" s="7">
        <f t="shared" si="22"/>
        <v>41.143109449658368</v>
      </c>
      <c r="O245" s="23">
        <f t="shared" si="23"/>
        <v>4973.4644079554992</v>
      </c>
      <c r="P245" s="23">
        <f t="shared" si="27"/>
        <v>1377.0891586502669</v>
      </c>
      <c r="Q245" s="7">
        <f t="shared" si="24"/>
        <v>3555.2321398555741</v>
      </c>
      <c r="R245" s="7">
        <f t="shared" si="25"/>
        <v>270344.88086325658</v>
      </c>
    </row>
    <row r="246" spans="7:18">
      <c r="G246" s="7" t="s">
        <v>82</v>
      </c>
      <c r="H246" s="7">
        <f>-'tabla financiera '!N246</f>
        <v>-4973.4644079554992</v>
      </c>
      <c r="I246" s="40">
        <v>241</v>
      </c>
      <c r="J246" s="40">
        <v>237</v>
      </c>
      <c r="K246" s="23">
        <f t="shared" si="26"/>
        <v>270344.88086325658</v>
      </c>
      <c r="L246" s="7">
        <f t="shared" si="21"/>
        <v>1399.8235683515181</v>
      </c>
      <c r="M246" s="7">
        <f>+'tabla financiera '!M242</f>
        <v>1359.1072824037408</v>
      </c>
      <c r="N246" s="7">
        <f t="shared" si="22"/>
        <v>40.716285947777351</v>
      </c>
      <c r="O246" s="23">
        <f t="shared" si="23"/>
        <v>4973.4644079554992</v>
      </c>
      <c r="P246" s="23">
        <f t="shared" si="27"/>
        <v>1359.1072824037408</v>
      </c>
      <c r="Q246" s="7">
        <f t="shared" si="24"/>
        <v>3573.640839603981</v>
      </c>
      <c r="R246" s="7">
        <f t="shared" si="25"/>
        <v>266771.24002365262</v>
      </c>
    </row>
    <row r="247" spans="7:18">
      <c r="G247" s="7" t="s">
        <v>82</v>
      </c>
      <c r="H247" s="7">
        <f>-'tabla financiera '!N247</f>
        <v>-4973.4644079554992</v>
      </c>
      <c r="I247" s="40">
        <v>242</v>
      </c>
      <c r="J247" s="40">
        <v>238</v>
      </c>
      <c r="K247" s="23">
        <f t="shared" si="26"/>
        <v>266771.24002365262</v>
      </c>
      <c r="L247" s="7">
        <f t="shared" si="21"/>
        <v>1381.3195498691728</v>
      </c>
      <c r="M247" s="7">
        <f>+'tabla financiera '!M243</f>
        <v>1341.035496775982</v>
      </c>
      <c r="N247" s="7">
        <f t="shared" si="22"/>
        <v>40.284053093190778</v>
      </c>
      <c r="O247" s="23">
        <f t="shared" si="23"/>
        <v>4973.4644079554992</v>
      </c>
      <c r="P247" s="23">
        <f t="shared" si="27"/>
        <v>1341.035496775982</v>
      </c>
      <c r="Q247" s="7">
        <f t="shared" si="24"/>
        <v>3592.1448580863262</v>
      </c>
      <c r="R247" s="7">
        <f t="shared" si="25"/>
        <v>263179.09516556631</v>
      </c>
    </row>
    <row r="248" spans="7:18">
      <c r="G248" s="7" t="s">
        <v>82</v>
      </c>
      <c r="H248" s="7">
        <f>-'tabla financiera '!N248</f>
        <v>-4973.4644079554992</v>
      </c>
      <c r="I248" s="40">
        <v>243</v>
      </c>
      <c r="J248" s="40">
        <v>239</v>
      </c>
      <c r="K248" s="23">
        <f t="shared" si="26"/>
        <v>263179.09516556631</v>
      </c>
      <c r="L248" s="7">
        <f t="shared" si="21"/>
        <v>1362.7197191003211</v>
      </c>
      <c r="M248" s="7">
        <f>+'tabla financiera '!M244</f>
        <v>1322.8733522200844</v>
      </c>
      <c r="N248" s="7">
        <f t="shared" si="22"/>
        <v>39.846366880236701</v>
      </c>
      <c r="O248" s="23">
        <f t="shared" si="23"/>
        <v>4973.4644079554992</v>
      </c>
      <c r="P248" s="23">
        <f t="shared" si="27"/>
        <v>1322.8733522200844</v>
      </c>
      <c r="Q248" s="7">
        <f t="shared" si="24"/>
        <v>3610.7446888551781</v>
      </c>
      <c r="R248" s="7">
        <f t="shared" si="25"/>
        <v>259568.35047671114</v>
      </c>
    </row>
    <row r="249" spans="7:18">
      <c r="G249" s="7" t="s">
        <v>82</v>
      </c>
      <c r="H249" s="7">
        <f>-'tabla financiera '!N249</f>
        <v>-4973.4644079554992</v>
      </c>
      <c r="I249" s="40">
        <v>244</v>
      </c>
      <c r="J249" s="40">
        <v>240</v>
      </c>
      <c r="K249" s="23">
        <f t="shared" si="26"/>
        <v>259568.35047671114</v>
      </c>
      <c r="L249" s="7">
        <f t="shared" si="21"/>
        <v>1344.0235799368202</v>
      </c>
      <c r="M249" s="7">
        <f>+'tabla financiera '!M245</f>
        <v>1304.6203969414073</v>
      </c>
      <c r="N249" s="7">
        <f t="shared" si="22"/>
        <v>39.403182995412863</v>
      </c>
      <c r="O249" s="23">
        <f t="shared" si="23"/>
        <v>4973.4644079554992</v>
      </c>
      <c r="P249" s="23">
        <f t="shared" si="27"/>
        <v>1304.6203969414073</v>
      </c>
      <c r="Q249" s="7">
        <f t="shared" si="24"/>
        <v>3629.440828018679</v>
      </c>
      <c r="R249" s="7">
        <f t="shared" si="25"/>
        <v>255938.90964869247</v>
      </c>
    </row>
    <row r="250" spans="7:18">
      <c r="G250" s="7" t="s">
        <v>82</v>
      </c>
      <c r="H250" s="7">
        <f>-'tabla financiera '!N250</f>
        <v>-4973.4644079554992</v>
      </c>
      <c r="I250" s="40">
        <v>245</v>
      </c>
      <c r="J250" s="40">
        <v>241</v>
      </c>
      <c r="K250" s="23">
        <f t="shared" si="26"/>
        <v>255938.90964869247</v>
      </c>
      <c r="L250" s="7">
        <f t="shared" si="21"/>
        <v>1325.2306337017199</v>
      </c>
      <c r="M250" s="7">
        <f>+'tabla financiera '!M246</f>
        <v>1286.2761768863368</v>
      </c>
      <c r="N250" s="7">
        <f t="shared" si="22"/>
        <v>38.954456815383082</v>
      </c>
      <c r="O250" s="23">
        <f t="shared" si="23"/>
        <v>4973.4644079554992</v>
      </c>
      <c r="P250" s="23">
        <f t="shared" si="27"/>
        <v>1286.2761768863368</v>
      </c>
      <c r="Q250" s="7">
        <f t="shared" si="24"/>
        <v>3648.2337742537793</v>
      </c>
      <c r="R250" s="7">
        <f t="shared" si="25"/>
        <v>252290.67587443869</v>
      </c>
    </row>
    <row r="251" spans="7:18">
      <c r="G251" s="7" t="s">
        <v>82</v>
      </c>
      <c r="H251" s="7">
        <f>-'tabla financiera '!N251</f>
        <v>-4973.4644079554992</v>
      </c>
      <c r="I251" s="40">
        <v>246</v>
      </c>
      <c r="J251" s="40">
        <v>242</v>
      </c>
      <c r="K251" s="23">
        <f t="shared" si="26"/>
        <v>252290.67587443869</v>
      </c>
      <c r="L251" s="7">
        <f t="shared" si="21"/>
        <v>1306.3403791359617</v>
      </c>
      <c r="M251" s="7">
        <f>+'tabla financiera '!M247</f>
        <v>1267.840235730991</v>
      </c>
      <c r="N251" s="7">
        <f t="shared" si="22"/>
        <v>38.500143404970686</v>
      </c>
      <c r="O251" s="23">
        <f t="shared" si="23"/>
        <v>4973.4644079554992</v>
      </c>
      <c r="P251" s="23">
        <f t="shared" si="27"/>
        <v>1267.840235730991</v>
      </c>
      <c r="Q251" s="7">
        <f t="shared" si="24"/>
        <v>3667.1240288195377</v>
      </c>
      <c r="R251" s="7">
        <f t="shared" si="25"/>
        <v>248623.55184561916</v>
      </c>
    </row>
    <row r="252" spans="7:18">
      <c r="G252" s="7" t="s">
        <v>82</v>
      </c>
      <c r="H252" s="7">
        <f>-'tabla financiera '!N252</f>
        <v>-4973.4644079554992</v>
      </c>
      <c r="I252" s="40">
        <v>247</v>
      </c>
      <c r="J252" s="40">
        <v>243</v>
      </c>
      <c r="K252" s="23">
        <f t="shared" si="26"/>
        <v>248623.55184561916</v>
      </c>
      <c r="L252" s="7">
        <f t="shared" si="21"/>
        <v>1287.3523123850096</v>
      </c>
      <c r="M252" s="7">
        <f>+'tabla financiera '!M248</f>
        <v>1249.3121148698683</v>
      </c>
      <c r="N252" s="7">
        <f t="shared" si="22"/>
        <v>38.040197515141244</v>
      </c>
      <c r="O252" s="23">
        <f t="shared" si="23"/>
        <v>4973.4644079554992</v>
      </c>
      <c r="P252" s="23">
        <f t="shared" si="27"/>
        <v>1249.3121148698683</v>
      </c>
      <c r="Q252" s="7">
        <f t="shared" si="24"/>
        <v>3686.1120955704896</v>
      </c>
      <c r="R252" s="7">
        <f t="shared" si="25"/>
        <v>244937.43975004868</v>
      </c>
    </row>
    <row r="253" spans="7:18">
      <c r="G253" s="7" t="s">
        <v>82</v>
      </c>
      <c r="H253" s="7">
        <f>-'tabla financiera '!N253</f>
        <v>-4973.4644079554992</v>
      </c>
      <c r="I253" s="40">
        <v>248</v>
      </c>
      <c r="J253" s="40">
        <v>244</v>
      </c>
      <c r="K253" s="23">
        <f t="shared" si="26"/>
        <v>244937.43975004868</v>
      </c>
      <c r="L253" s="7">
        <f t="shared" si="21"/>
        <v>1268.2659269854091</v>
      </c>
      <c r="M253" s="7">
        <f>+'tabla financiera '!M249</f>
        <v>1230.6913534044402</v>
      </c>
      <c r="N253" s="7">
        <f t="shared" si="22"/>
        <v>37.574573580968945</v>
      </c>
      <c r="O253" s="23">
        <f t="shared" si="23"/>
        <v>4973.4644079554992</v>
      </c>
      <c r="P253" s="23">
        <f t="shared" si="27"/>
        <v>1230.6913534044402</v>
      </c>
      <c r="Q253" s="7">
        <f t="shared" si="24"/>
        <v>3705.1984809700898</v>
      </c>
      <c r="R253" s="7">
        <f t="shared" si="25"/>
        <v>241232.2412690786</v>
      </c>
    </row>
    <row r="254" spans="7:18">
      <c r="G254" s="7" t="s">
        <v>82</v>
      </c>
      <c r="H254" s="7">
        <f>-'tabla financiera '!N254</f>
        <v>-4973.4644079554992</v>
      </c>
      <c r="I254" s="40">
        <v>249</v>
      </c>
      <c r="J254" s="40">
        <v>245</v>
      </c>
      <c r="K254" s="23">
        <f t="shared" si="26"/>
        <v>241232.2412690786</v>
      </c>
      <c r="L254" s="7">
        <f t="shared" si="21"/>
        <v>1249.0807138512807</v>
      </c>
      <c r="M254" s="7">
        <f>+'tabla financiera '!M250</f>
        <v>1211.9774881316848</v>
      </c>
      <c r="N254" s="7">
        <f t="shared" si="22"/>
        <v>37.103225719595912</v>
      </c>
      <c r="O254" s="23">
        <f t="shared" si="23"/>
        <v>4973.4644079554992</v>
      </c>
      <c r="P254" s="23">
        <f t="shared" si="27"/>
        <v>1211.9774881316848</v>
      </c>
      <c r="Q254" s="7">
        <f t="shared" si="24"/>
        <v>3724.3836941042182</v>
      </c>
      <c r="R254" s="7">
        <f t="shared" si="25"/>
        <v>237507.85757497439</v>
      </c>
    </row>
    <row r="255" spans="7:18">
      <c r="G255" s="7" t="s">
        <v>82</v>
      </c>
      <c r="H255" s="7">
        <f>-'tabla financiera '!N255</f>
        <v>-4973.4644079554992</v>
      </c>
      <c r="I255" s="40">
        <v>250</v>
      </c>
      <c r="J255" s="40">
        <v>246</v>
      </c>
      <c r="K255" s="23">
        <f t="shared" si="26"/>
        <v>237507.85757497439</v>
      </c>
      <c r="L255" s="7">
        <f t="shared" si="21"/>
        <v>1229.7961612607392</v>
      </c>
      <c r="M255" s="7">
        <f>+'tabla financiera '!M251</f>
        <v>1193.1700535325658</v>
      </c>
      <c r="N255" s="7">
        <f t="shared" si="22"/>
        <v>36.626107728173338</v>
      </c>
      <c r="O255" s="23">
        <f t="shared" si="23"/>
        <v>4973.4644079554992</v>
      </c>
      <c r="P255" s="23">
        <f t="shared" si="27"/>
        <v>1193.1700535325658</v>
      </c>
      <c r="Q255" s="7">
        <f t="shared" si="24"/>
        <v>3743.66824669476</v>
      </c>
      <c r="R255" s="7">
        <f t="shared" si="25"/>
        <v>233764.18932827964</v>
      </c>
    </row>
    <row r="256" spans="7:18">
      <c r="G256" s="7" t="s">
        <v>82</v>
      </c>
      <c r="H256" s="7">
        <f>-'tabla financiera '!N256</f>
        <v>-4973.4644079554992</v>
      </c>
      <c r="I256" s="40">
        <v>251</v>
      </c>
      <c r="J256" s="40">
        <v>247</v>
      </c>
      <c r="K256" s="23">
        <f t="shared" si="26"/>
        <v>233764.18932827964</v>
      </c>
      <c r="L256" s="7">
        <f t="shared" si="21"/>
        <v>1210.4117548422457</v>
      </c>
      <c r="M256" s="7">
        <f>+'tabla financiera '!M252</f>
        <v>1174.2685817604513</v>
      </c>
      <c r="N256" s="7">
        <f t="shared" si="22"/>
        <v>36.14317308179443</v>
      </c>
      <c r="O256" s="23">
        <f t="shared" si="23"/>
        <v>4973.4644079554992</v>
      </c>
      <c r="P256" s="23">
        <f t="shared" si="27"/>
        <v>1174.2685817604513</v>
      </c>
      <c r="Q256" s="7">
        <f t="shared" si="24"/>
        <v>3763.0526531132537</v>
      </c>
      <c r="R256" s="7">
        <f t="shared" si="25"/>
        <v>230001.13667516637</v>
      </c>
    </row>
    <row r="257" spans="7:18">
      <c r="G257" s="7" t="s">
        <v>82</v>
      </c>
      <c r="H257" s="7">
        <f>-'tabla financiera '!N257</f>
        <v>-4973.4644079554992</v>
      </c>
      <c r="I257" s="40">
        <v>252</v>
      </c>
      <c r="J257" s="40">
        <v>248</v>
      </c>
      <c r="K257" s="23">
        <f t="shared" si="26"/>
        <v>230001.13667516637</v>
      </c>
      <c r="L257" s="7">
        <f t="shared" si="21"/>
        <v>1190.9269775608884</v>
      </c>
      <c r="M257" s="7">
        <f>+'tabla financiera '!M253</f>
        <v>1155.2726026294761</v>
      </c>
      <c r="N257" s="7">
        <f t="shared" si="22"/>
        <v>35.654374931412349</v>
      </c>
      <c r="O257" s="23">
        <f t="shared" si="23"/>
        <v>4973.4644079554992</v>
      </c>
      <c r="P257" s="23">
        <f t="shared" si="27"/>
        <v>1155.2726026294761</v>
      </c>
      <c r="Q257" s="7">
        <f t="shared" si="24"/>
        <v>3782.537430394611</v>
      </c>
      <c r="R257" s="7">
        <f t="shared" si="25"/>
        <v>226218.59924477176</v>
      </c>
    </row>
    <row r="258" spans="7:18">
      <c r="G258" s="7" t="s">
        <v>82</v>
      </c>
      <c r="H258" s="7">
        <f>-'tabla financiera '!N258</f>
        <v>-4973.4644079554992</v>
      </c>
      <c r="I258" s="40">
        <v>253</v>
      </c>
      <c r="J258" s="40">
        <v>249</v>
      </c>
      <c r="K258" s="23">
        <f t="shared" si="26"/>
        <v>226218.59924477176</v>
      </c>
      <c r="L258" s="7">
        <f t="shared" si="21"/>
        <v>1171.3413097045905</v>
      </c>
      <c r="M258" s="7">
        <f>+'tabla financiera '!M254</f>
        <v>1136.181643602846</v>
      </c>
      <c r="N258" s="7">
        <f t="shared" si="22"/>
        <v>35.159666101744506</v>
      </c>
      <c r="O258" s="23">
        <f t="shared" si="23"/>
        <v>4973.4644079554992</v>
      </c>
      <c r="P258" s="23">
        <f t="shared" si="27"/>
        <v>1136.181643602846</v>
      </c>
      <c r="Q258" s="7">
        <f t="shared" si="24"/>
        <v>3802.1230982509087</v>
      </c>
      <c r="R258" s="7">
        <f t="shared" si="25"/>
        <v>222416.47614652084</v>
      </c>
    </row>
    <row r="259" spans="7:18">
      <c r="G259" s="7" t="s">
        <v>82</v>
      </c>
      <c r="H259" s="7">
        <f>-'tabla financiera '!N259</f>
        <v>-4973.4644079554992</v>
      </c>
      <c r="I259" s="40">
        <v>254</v>
      </c>
      <c r="J259" s="40">
        <v>250</v>
      </c>
      <c r="K259" s="23">
        <f t="shared" si="26"/>
        <v>222416.47614652084</v>
      </c>
      <c r="L259" s="7">
        <f t="shared" si="21"/>
        <v>1151.654228870249</v>
      </c>
      <c r="M259" s="7">
        <f>+'tabla financiera '!M255</f>
        <v>1116.9952297810826</v>
      </c>
      <c r="N259" s="7">
        <f t="shared" si="22"/>
        <v>34.6589990891664</v>
      </c>
      <c r="O259" s="23">
        <f t="shared" si="23"/>
        <v>4973.4644079554992</v>
      </c>
      <c r="P259" s="23">
        <f t="shared" si="27"/>
        <v>1116.9952297810826</v>
      </c>
      <c r="Q259" s="7">
        <f t="shared" si="24"/>
        <v>3821.8101790852502</v>
      </c>
      <c r="R259" s="7">
        <f t="shared" si="25"/>
        <v>218594.66596743561</v>
      </c>
    </row>
    <row r="260" spans="7:18">
      <c r="G260" s="7" t="s">
        <v>82</v>
      </c>
      <c r="H260" s="7">
        <f>-'tabla financiera '!N260</f>
        <v>-4973.4644079554992</v>
      </c>
      <c r="I260" s="40">
        <v>255</v>
      </c>
      <c r="J260" s="40">
        <v>251</v>
      </c>
      <c r="K260" s="23">
        <f t="shared" si="26"/>
        <v>218594.66596743561</v>
      </c>
      <c r="L260" s="7">
        <f t="shared" si="21"/>
        <v>1131.8652099498011</v>
      </c>
      <c r="M260" s="7">
        <f>+'tabla financiera '!M256</f>
        <v>1097.7128838902106</v>
      </c>
      <c r="N260" s="7">
        <f t="shared" si="22"/>
        <v>34.15232605959045</v>
      </c>
      <c r="O260" s="23">
        <f t="shared" si="23"/>
        <v>4973.4644079554992</v>
      </c>
      <c r="P260" s="23">
        <f t="shared" si="27"/>
        <v>1097.7128838902106</v>
      </c>
      <c r="Q260" s="7">
        <f t="shared" si="24"/>
        <v>3841.5991980056979</v>
      </c>
      <c r="R260" s="7">
        <f t="shared" si="25"/>
        <v>214753.06676942992</v>
      </c>
    </row>
    <row r="261" spans="7:18">
      <c r="G261" s="7" t="s">
        <v>82</v>
      </c>
      <c r="H261" s="7">
        <f>-'tabla financiera '!N261</f>
        <v>-4973.4644079554992</v>
      </c>
      <c r="I261" s="40">
        <v>256</v>
      </c>
      <c r="J261" s="40">
        <v>252</v>
      </c>
      <c r="K261" s="23">
        <f t="shared" si="26"/>
        <v>214753.06676942992</v>
      </c>
      <c r="L261" s="7">
        <f t="shared" si="21"/>
        <v>1111.9737251162167</v>
      </c>
      <c r="M261" s="7">
        <f>+'tabla financiera '!M257</f>
        <v>1078.3341262698841</v>
      </c>
      <c r="N261" s="7">
        <f t="shared" si="22"/>
        <v>33.639598846332547</v>
      </c>
      <c r="O261" s="23">
        <f t="shared" si="23"/>
        <v>4973.4644079554992</v>
      </c>
      <c r="P261" s="23">
        <f t="shared" si="27"/>
        <v>1078.3341262698841</v>
      </c>
      <c r="Q261" s="7">
        <f t="shared" si="24"/>
        <v>3861.4906828392823</v>
      </c>
      <c r="R261" s="7">
        <f t="shared" si="25"/>
        <v>210891.57608659065</v>
      </c>
    </row>
    <row r="262" spans="7:18">
      <c r="G262" s="7" t="s">
        <v>82</v>
      </c>
      <c r="H262" s="7">
        <f>-'tabla financiera '!N262</f>
        <v>-4973.4644079554992</v>
      </c>
      <c r="I262" s="40">
        <v>257</v>
      </c>
      <c r="J262" s="40">
        <v>253</v>
      </c>
      <c r="K262" s="23">
        <f t="shared" si="26"/>
        <v>210891.57608659065</v>
      </c>
      <c r="L262" s="7">
        <f t="shared" si="21"/>
        <v>1091.9792438094212</v>
      </c>
      <c r="M262" s="7">
        <f>+'tabla financiera '!M258</f>
        <v>1058.858474861456</v>
      </c>
      <c r="N262" s="7">
        <f t="shared" si="22"/>
        <v>33.120768947965189</v>
      </c>
      <c r="O262" s="23">
        <f t="shared" si="23"/>
        <v>4973.4644079554992</v>
      </c>
      <c r="P262" s="23">
        <f t="shared" si="27"/>
        <v>1058.858474861456</v>
      </c>
      <c r="Q262" s="7">
        <f t="shared" si="24"/>
        <v>3881.4851641460782</v>
      </c>
      <c r="R262" s="7">
        <f t="shared" si="25"/>
        <v>207010.09092244456</v>
      </c>
    </row>
    <row r="263" spans="7:18">
      <c r="G263" s="7" t="s">
        <v>82</v>
      </c>
      <c r="H263" s="7">
        <f>-'tabla financiera '!N263</f>
        <v>-4973.4644079554992</v>
      </c>
      <c r="I263" s="40">
        <v>258</v>
      </c>
      <c r="J263" s="40">
        <v>254</v>
      </c>
      <c r="K263" s="23">
        <f t="shared" si="26"/>
        <v>207010.09092244456</v>
      </c>
      <c r="L263" s="7">
        <f t="shared" si="21"/>
        <v>1071.8812327221437</v>
      </c>
      <c r="M263" s="7">
        <f>+'tabla financiera '!M259</f>
        <v>1039.2854451959856</v>
      </c>
      <c r="N263" s="7">
        <f t="shared" si="22"/>
        <v>32.595787526158119</v>
      </c>
      <c r="O263" s="23">
        <f t="shared" si="23"/>
        <v>4973.4644079554992</v>
      </c>
      <c r="P263" s="23">
        <f t="shared" si="27"/>
        <v>1039.2854451959856</v>
      </c>
      <c r="Q263" s="7">
        <f t="shared" si="24"/>
        <v>3901.5831752333552</v>
      </c>
      <c r="R263" s="7">
        <f t="shared" si="25"/>
        <v>203108.5077472112</v>
      </c>
    </row>
    <row r="264" spans="7:18">
      <c r="G264" s="7" t="s">
        <v>82</v>
      </c>
      <c r="H264" s="7">
        <f>-'tabla financiera '!N264</f>
        <v>-4973.4644079554992</v>
      </c>
      <c r="I264" s="40">
        <v>259</v>
      </c>
      <c r="J264" s="40">
        <v>255</v>
      </c>
      <c r="K264" s="23">
        <f t="shared" si="26"/>
        <v>203108.5077472112</v>
      </c>
      <c r="L264" s="7">
        <f t="shared" si="21"/>
        <v>1051.6791557856918</v>
      </c>
      <c r="M264" s="7">
        <f>+'tabla financiera '!M260</f>
        <v>1019.6145503821882</v>
      </c>
      <c r="N264" s="7">
        <f t="shared" si="22"/>
        <v>32.064605403503606</v>
      </c>
      <c r="O264" s="23">
        <f t="shared" si="23"/>
        <v>4973.4644079554992</v>
      </c>
      <c r="P264" s="23">
        <f t="shared" si="27"/>
        <v>1019.6145503821882</v>
      </c>
      <c r="Q264" s="7">
        <f t="shared" si="24"/>
        <v>3921.7852521698073</v>
      </c>
      <c r="R264" s="7">
        <f t="shared" si="25"/>
        <v>199186.72249504141</v>
      </c>
    </row>
    <row r="265" spans="7:18">
      <c r="G265" s="7" t="s">
        <v>82</v>
      </c>
      <c r="H265" s="7">
        <f>-'tabla financiera '!N265</f>
        <v>-4973.4644079554992</v>
      </c>
      <c r="I265" s="40">
        <v>260</v>
      </c>
      <c r="J265" s="40">
        <v>256</v>
      </c>
      <c r="K265" s="23">
        <f t="shared" si="26"/>
        <v>199186.72249504141</v>
      </c>
      <c r="L265" s="7">
        <f t="shared" si="21"/>
        <v>1031.3724741556539</v>
      </c>
      <c r="M265" s="7">
        <f>+'tabla financiera '!M261</f>
        <v>999.8453010943216</v>
      </c>
      <c r="N265" s="7">
        <f t="shared" si="22"/>
        <v>31.527173061332292</v>
      </c>
      <c r="O265" s="23">
        <f t="shared" si="23"/>
        <v>4973.4644079554992</v>
      </c>
      <c r="P265" s="23">
        <f t="shared" si="27"/>
        <v>999.8453010943216</v>
      </c>
      <c r="Q265" s="7">
        <f t="shared" si="24"/>
        <v>3942.0919337998453</v>
      </c>
      <c r="R265" s="7">
        <f t="shared" si="25"/>
        <v>195244.63056124156</v>
      </c>
    </row>
    <row r="266" spans="7:18">
      <c r="G266" s="7" t="s">
        <v>82</v>
      </c>
      <c r="H266" s="7">
        <f>-'tabla financiera '!N266</f>
        <v>-4973.4644079554992</v>
      </c>
      <c r="I266" s="40">
        <v>261</v>
      </c>
      <c r="J266" s="40">
        <v>257</v>
      </c>
      <c r="K266" s="23">
        <f t="shared" si="26"/>
        <v>195244.63056124156</v>
      </c>
      <c r="L266" s="7">
        <f t="shared" si="21"/>
        <v>1010.9606461975259</v>
      </c>
      <c r="M266" s="7">
        <f>+'tabla financiera '!M262</f>
        <v>979.9772055600157</v>
      </c>
      <c r="N266" s="7">
        <f t="shared" si="22"/>
        <v>30.983440637510171</v>
      </c>
      <c r="O266" s="23">
        <f t="shared" si="23"/>
        <v>4973.4644079554992</v>
      </c>
      <c r="P266" s="23">
        <f t="shared" si="27"/>
        <v>979.9772055600157</v>
      </c>
      <c r="Q266" s="7">
        <f t="shared" si="24"/>
        <v>3962.5037617579733</v>
      </c>
      <c r="R266" s="7">
        <f t="shared" si="25"/>
        <v>191282.12679948358</v>
      </c>
    </row>
    <row r="267" spans="7:18">
      <c r="G267" s="7" t="s">
        <v>82</v>
      </c>
      <c r="H267" s="7">
        <f>-'tabla financiera '!N267</f>
        <v>-4973.4644079554992</v>
      </c>
      <c r="I267" s="40">
        <v>262</v>
      </c>
      <c r="J267" s="40">
        <v>258</v>
      </c>
      <c r="K267" s="23">
        <f t="shared" si="26"/>
        <v>191282.12679948358</v>
      </c>
      <c r="L267" s="7">
        <f t="shared" ref="L267:L309" si="28">+K267*H$306</f>
        <v>990.44312747226468</v>
      </c>
      <c r="M267" s="7">
        <f>+'tabla financiera '!M263</f>
        <v>960.00976954803832</v>
      </c>
      <c r="N267" s="7">
        <f t="shared" ref="N267:N309" si="29">+L267-M267</f>
        <v>30.433357924226357</v>
      </c>
      <c r="O267" s="23">
        <f t="shared" ref="O267:O309" si="30">-H263</f>
        <v>4973.4644079554992</v>
      </c>
      <c r="P267" s="23">
        <f t="shared" si="27"/>
        <v>960.00976954803832</v>
      </c>
      <c r="Q267" s="7">
        <f t="shared" ref="Q267:Q309" si="31">+O267-L267</f>
        <v>3983.0212804832345</v>
      </c>
      <c r="R267" s="7">
        <f t="shared" ref="R267:R309" si="32">+K267-Q267</f>
        <v>187299.10551900035</v>
      </c>
    </row>
    <row r="268" spans="7:18">
      <c r="G268" s="7" t="s">
        <v>82</v>
      </c>
      <c r="H268" s="7">
        <f>-'tabla financiera '!N268</f>
        <v>-4973.4644079554992</v>
      </c>
      <c r="I268" s="40">
        <v>263</v>
      </c>
      <c r="J268" s="40">
        <v>259</v>
      </c>
      <c r="K268" s="23">
        <f t="shared" ref="K268:K309" si="33">+R267</f>
        <v>187299.10551900035</v>
      </c>
      <c r="L268" s="7">
        <f t="shared" si="28"/>
        <v>969.81937072176709</v>
      </c>
      <c r="M268" s="7">
        <f>+'tabla financiera '!M264</f>
        <v>939.94249635600113</v>
      </c>
      <c r="N268" s="7">
        <f t="shared" si="29"/>
        <v>29.876874365765957</v>
      </c>
      <c r="O268" s="23">
        <f t="shared" si="30"/>
        <v>4973.4644079554992</v>
      </c>
      <c r="P268" s="23">
        <f t="shared" ref="P268:P309" si="34">+M268</f>
        <v>939.94249635600113</v>
      </c>
      <c r="Q268" s="7">
        <f t="shared" si="31"/>
        <v>4003.6450372337322</v>
      </c>
      <c r="R268" s="7">
        <f t="shared" si="32"/>
        <v>183295.46048176661</v>
      </c>
    </row>
    <row r="269" spans="7:18">
      <c r="G269" s="7" t="s">
        <v>82</v>
      </c>
      <c r="H269" s="7">
        <f>-'tabla financiera '!N269</f>
        <v>-4973.4644079554992</v>
      </c>
      <c r="I269" s="40">
        <v>264</v>
      </c>
      <c r="J269" s="40">
        <v>260</v>
      </c>
      <c r="K269" s="23">
        <f t="shared" si="33"/>
        <v>183295.46048176661</v>
      </c>
      <c r="L269" s="7">
        <f t="shared" si="28"/>
        <v>949.08882585427182</v>
      </c>
      <c r="M269" s="7">
        <f>+'tabla financiera '!M265</f>
        <v>919.77488679800354</v>
      </c>
      <c r="N269" s="7">
        <f t="shared" si="29"/>
        <v>29.313939056268282</v>
      </c>
      <c r="O269" s="23">
        <f t="shared" si="30"/>
        <v>4973.4644079554992</v>
      </c>
      <c r="P269" s="23">
        <f t="shared" si="34"/>
        <v>919.77488679800354</v>
      </c>
      <c r="Q269" s="7">
        <f t="shared" si="31"/>
        <v>4024.3755821012273</v>
      </c>
      <c r="R269" s="7">
        <f t="shared" si="32"/>
        <v>179271.08489966538</v>
      </c>
    </row>
    <row r="270" spans="7:18">
      <c r="G270" s="7" t="s">
        <v>82</v>
      </c>
      <c r="H270" s="7">
        <f>-'tabla financiera '!N270</f>
        <v>-4973.4644079554992</v>
      </c>
      <c r="I270" s="40">
        <v>265</v>
      </c>
      <c r="J270" s="40">
        <v>261</v>
      </c>
      <c r="K270" s="23">
        <f t="shared" si="33"/>
        <v>179271.08489966538</v>
      </c>
      <c r="L270" s="7">
        <f t="shared" si="28"/>
        <v>928.25093992968834</v>
      </c>
      <c r="M270" s="7">
        <f>+'tabla financiera '!M266</f>
        <v>899.50643919221602</v>
      </c>
      <c r="N270" s="7">
        <f t="shared" si="29"/>
        <v>28.744500737472322</v>
      </c>
      <c r="O270" s="23">
        <f t="shared" si="30"/>
        <v>4973.4644079554992</v>
      </c>
      <c r="P270" s="23">
        <f t="shared" si="34"/>
        <v>899.50643919221602</v>
      </c>
      <c r="Q270" s="7">
        <f t="shared" si="31"/>
        <v>4045.2134680258109</v>
      </c>
      <c r="R270" s="7">
        <f t="shared" si="32"/>
        <v>175225.87143163956</v>
      </c>
    </row>
    <row r="271" spans="7:18">
      <c r="G271" s="7" t="s">
        <v>82</v>
      </c>
      <c r="H271" s="7">
        <f>-'tabla financiera '!N271</f>
        <v>-4973.4644079554992</v>
      </c>
      <c r="I271" s="40">
        <v>266</v>
      </c>
      <c r="J271" s="40">
        <v>262</v>
      </c>
      <c r="K271" s="23">
        <f t="shared" si="33"/>
        <v>175225.87143163956</v>
      </c>
      <c r="L271" s="7">
        <f t="shared" si="28"/>
        <v>907.30515714484727</v>
      </c>
      <c r="M271" s="7">
        <f>+'tabla financiera '!M267</f>
        <v>879.13664934839971</v>
      </c>
      <c r="N271" s="7">
        <f t="shared" si="29"/>
        <v>28.168507796447557</v>
      </c>
      <c r="O271" s="23">
        <f t="shared" si="30"/>
        <v>4973.4644079554992</v>
      </c>
      <c r="P271" s="23">
        <f t="shared" si="34"/>
        <v>879.13664934839971</v>
      </c>
      <c r="Q271" s="7">
        <f t="shared" si="31"/>
        <v>4066.1592508106519</v>
      </c>
      <c r="R271" s="7">
        <f t="shared" si="32"/>
        <v>171159.71218082891</v>
      </c>
    </row>
    <row r="272" spans="7:18">
      <c r="G272" s="7" t="s">
        <v>82</v>
      </c>
      <c r="H272" s="7">
        <f>-'tabla financiera '!N272</f>
        <v>-4973.4644079554992</v>
      </c>
      <c r="I272" s="40">
        <v>267</v>
      </c>
      <c r="J272" s="40">
        <v>263</v>
      </c>
      <c r="K272" s="23">
        <f t="shared" si="33"/>
        <v>171159.71218082891</v>
      </c>
      <c r="L272" s="7">
        <f t="shared" si="28"/>
        <v>886.25091881867627</v>
      </c>
      <c r="M272" s="7">
        <f>+'tabla financiera '!M268</f>
        <v>858.66501055536412</v>
      </c>
      <c r="N272" s="7">
        <f t="shared" si="29"/>
        <v>27.585908263312149</v>
      </c>
      <c r="O272" s="23">
        <f t="shared" si="30"/>
        <v>4973.4644079554992</v>
      </c>
      <c r="P272" s="23">
        <f t="shared" si="34"/>
        <v>858.66501055536412</v>
      </c>
      <c r="Q272" s="7">
        <f t="shared" si="31"/>
        <v>4087.2134891368228</v>
      </c>
      <c r="R272" s="7">
        <f t="shared" si="32"/>
        <v>167072.49869169208</v>
      </c>
    </row>
    <row r="273" spans="7:18">
      <c r="G273" s="7" t="s">
        <v>82</v>
      </c>
      <c r="H273" s="7">
        <f>-'tabla financiera '!N273</f>
        <v>-4973.4644079554992</v>
      </c>
      <c r="I273" s="40">
        <v>268</v>
      </c>
      <c r="J273" s="40">
        <v>264</v>
      </c>
      <c r="K273" s="23">
        <f t="shared" si="33"/>
        <v>167072.49869169208</v>
      </c>
      <c r="L273" s="7">
        <f t="shared" si="28"/>
        <v>865.08766337729833</v>
      </c>
      <c r="M273" s="7">
        <f>+'tabla financiera '!M269</f>
        <v>838.09101356836345</v>
      </c>
      <c r="N273" s="7">
        <f t="shared" si="29"/>
        <v>26.996649808934876</v>
      </c>
      <c r="O273" s="23">
        <f t="shared" si="30"/>
        <v>4973.4644079554992</v>
      </c>
      <c r="P273" s="23">
        <f t="shared" si="34"/>
        <v>838.09101356836345</v>
      </c>
      <c r="Q273" s="7">
        <f t="shared" si="31"/>
        <v>4108.3767445782005</v>
      </c>
      <c r="R273" s="7">
        <f t="shared" si="32"/>
        <v>162964.12194711386</v>
      </c>
    </row>
    <row r="274" spans="7:18">
      <c r="G274" s="7" t="s">
        <v>82</v>
      </c>
      <c r="H274" s="7">
        <f>-'tabla financiera '!N274</f>
        <v>-4973.4644079554992</v>
      </c>
      <c r="I274" s="40">
        <v>269</v>
      </c>
      <c r="J274" s="40">
        <v>265</v>
      </c>
      <c r="K274" s="23">
        <f t="shared" si="33"/>
        <v>162964.12194711386</v>
      </c>
      <c r="L274" s="7">
        <f t="shared" si="28"/>
        <v>843.81482633905318</v>
      </c>
      <c r="M274" s="7">
        <f>+'tabla financiera '!M270</f>
        <v>817.41414659642771</v>
      </c>
      <c r="N274" s="7">
        <f t="shared" si="29"/>
        <v>26.400679742625471</v>
      </c>
      <c r="O274" s="23">
        <f t="shared" si="30"/>
        <v>4973.4644079554992</v>
      </c>
      <c r="P274" s="23">
        <f t="shared" si="34"/>
        <v>817.41414659642771</v>
      </c>
      <c r="Q274" s="7">
        <f t="shared" si="31"/>
        <v>4129.6495816164461</v>
      </c>
      <c r="R274" s="7">
        <f t="shared" si="32"/>
        <v>158834.47236549741</v>
      </c>
    </row>
    <row r="275" spans="7:18">
      <c r="G275" s="7" t="s">
        <v>82</v>
      </c>
      <c r="H275" s="7">
        <f>-'tabla financiera '!N275</f>
        <v>-4973.4644079554992</v>
      </c>
      <c r="I275" s="40">
        <v>270</v>
      </c>
      <c r="J275" s="40">
        <v>266</v>
      </c>
      <c r="K275" s="23">
        <f t="shared" si="33"/>
        <v>158834.47236549741</v>
      </c>
      <c r="L275" s="7">
        <f t="shared" si="28"/>
        <v>822.43184029944075</v>
      </c>
      <c r="M275" s="7">
        <f>+'tabla financiera '!M271</f>
        <v>796.63389528963239</v>
      </c>
      <c r="N275" s="7">
        <f t="shared" si="29"/>
        <v>25.797945009808359</v>
      </c>
      <c r="O275" s="23">
        <f t="shared" si="30"/>
        <v>4973.4644079554992</v>
      </c>
      <c r="P275" s="23">
        <f t="shared" si="34"/>
        <v>796.63389528963239</v>
      </c>
      <c r="Q275" s="7">
        <f t="shared" si="31"/>
        <v>4151.0325676560587</v>
      </c>
      <c r="R275" s="7">
        <f t="shared" si="32"/>
        <v>154683.43979784136</v>
      </c>
    </row>
    <row r="276" spans="7:18">
      <c r="G276" s="7" t="s">
        <v>82</v>
      </c>
      <c r="H276" s="7">
        <f>-'tabla financiera '!N276</f>
        <v>-4973.4644079554992</v>
      </c>
      <c r="I276" s="40">
        <v>271</v>
      </c>
      <c r="J276" s="40">
        <v>267</v>
      </c>
      <c r="K276" s="23">
        <f t="shared" si="33"/>
        <v>154683.43979784136</v>
      </c>
      <c r="L276" s="7">
        <f t="shared" si="28"/>
        <v>800.93813491598735</v>
      </c>
      <c r="M276" s="7">
        <f>+'tabla financiera '!M272</f>
        <v>775.749742726303</v>
      </c>
      <c r="N276" s="7">
        <f t="shared" si="29"/>
        <v>25.18839218968435</v>
      </c>
      <c r="O276" s="23">
        <f t="shared" si="30"/>
        <v>4973.4644079554992</v>
      </c>
      <c r="P276" s="23">
        <f t="shared" si="34"/>
        <v>775.749742726303</v>
      </c>
      <c r="Q276" s="7">
        <f t="shared" si="31"/>
        <v>4172.5262730395116</v>
      </c>
      <c r="R276" s="7">
        <f t="shared" si="32"/>
        <v>150510.91352480184</v>
      </c>
    </row>
    <row r="277" spans="7:18">
      <c r="G277" s="7" t="s">
        <v>82</v>
      </c>
      <c r="H277" s="7">
        <f>-'tabla financiera '!N277</f>
        <v>-4973.4644079554992</v>
      </c>
      <c r="I277" s="40">
        <v>272</v>
      </c>
      <c r="J277" s="40">
        <v>268</v>
      </c>
      <c r="K277" s="23">
        <f t="shared" si="33"/>
        <v>150510.91352480184</v>
      </c>
      <c r="L277" s="7">
        <f t="shared" si="28"/>
        <v>779.33313689303236</v>
      </c>
      <c r="M277" s="7">
        <f>+'tabla financiera '!M273</f>
        <v>754.76116940015697</v>
      </c>
      <c r="N277" s="7">
        <f t="shared" si="29"/>
        <v>24.571967492875388</v>
      </c>
      <c r="O277" s="23">
        <f t="shared" si="30"/>
        <v>4973.4644079554992</v>
      </c>
      <c r="P277" s="23">
        <f t="shared" si="34"/>
        <v>754.76116940015697</v>
      </c>
      <c r="Q277" s="7">
        <f t="shared" si="31"/>
        <v>4194.131271062467</v>
      </c>
      <c r="R277" s="7">
        <f t="shared" si="32"/>
        <v>146316.78225373937</v>
      </c>
    </row>
    <row r="278" spans="7:18">
      <c r="G278" s="7" t="s">
        <v>82</v>
      </c>
      <c r="H278" s="7">
        <f>-'tabla financiera '!N278</f>
        <v>-4973.4644079554992</v>
      </c>
      <c r="I278" s="40">
        <v>273</v>
      </c>
      <c r="J278" s="40">
        <v>269</v>
      </c>
      <c r="K278" s="23">
        <f t="shared" si="33"/>
        <v>146316.78225373937</v>
      </c>
      <c r="L278" s="7">
        <f t="shared" si="28"/>
        <v>757.61626996643804</v>
      </c>
      <c r="M278" s="7">
        <f>+'tabla financiera '!M274</f>
        <v>733.66765320738023</v>
      </c>
      <c r="N278" s="7">
        <f t="shared" si="29"/>
        <v>23.948616759057813</v>
      </c>
      <c r="O278" s="23">
        <f t="shared" si="30"/>
        <v>4973.4644079554992</v>
      </c>
      <c r="P278" s="23">
        <f t="shared" si="34"/>
        <v>733.66765320738023</v>
      </c>
      <c r="Q278" s="7">
        <f t="shared" si="31"/>
        <v>4215.8481379890609</v>
      </c>
      <c r="R278" s="7">
        <f t="shared" si="32"/>
        <v>142100.93411575031</v>
      </c>
    </row>
    <row r="279" spans="7:18">
      <c r="G279" s="7" t="s">
        <v>82</v>
      </c>
      <c r="H279" s="7">
        <f>-'tabla financiera '!N279</f>
        <v>-4973.4644079554992</v>
      </c>
      <c r="I279" s="40">
        <v>274</v>
      </c>
      <c r="J279" s="40">
        <v>270</v>
      </c>
      <c r="K279" s="23">
        <f t="shared" si="33"/>
        <v>142100.93411575031</v>
      </c>
      <c r="L279" s="7">
        <f t="shared" si="28"/>
        <v>735.78695488821768</v>
      </c>
      <c r="M279" s="7">
        <f>+'tabla financiera '!M275</f>
        <v>712.46866943363955</v>
      </c>
      <c r="N279" s="7">
        <f t="shared" si="29"/>
        <v>23.318285454578131</v>
      </c>
      <c r="O279" s="23">
        <f t="shared" si="30"/>
        <v>4973.4644079554992</v>
      </c>
      <c r="P279" s="23">
        <f t="shared" si="34"/>
        <v>712.46866943363955</v>
      </c>
      <c r="Q279" s="7">
        <f t="shared" si="31"/>
        <v>4237.677453067281</v>
      </c>
      <c r="R279" s="7">
        <f t="shared" si="32"/>
        <v>137863.25666268304</v>
      </c>
    </row>
    <row r="280" spans="7:18">
      <c r="G280" s="7" t="s">
        <v>82</v>
      </c>
      <c r="H280" s="7">
        <f>-'tabla financiera '!N280</f>
        <v>-4973.4644079554992</v>
      </c>
      <c r="I280" s="40">
        <v>275</v>
      </c>
      <c r="J280" s="40">
        <v>271</v>
      </c>
      <c r="K280" s="23">
        <f t="shared" si="33"/>
        <v>137863.25666268304</v>
      </c>
      <c r="L280" s="7">
        <f t="shared" si="28"/>
        <v>713.84460941108671</v>
      </c>
      <c r="M280" s="7">
        <f>+'tabla financiera '!M276</f>
        <v>691.16369074103034</v>
      </c>
      <c r="N280" s="7">
        <f t="shared" si="29"/>
        <v>22.680918670056371</v>
      </c>
      <c r="O280" s="23">
        <f t="shared" si="30"/>
        <v>4973.4644079554992</v>
      </c>
      <c r="P280" s="23">
        <f t="shared" si="34"/>
        <v>691.16369074103034</v>
      </c>
      <c r="Q280" s="7">
        <f t="shared" si="31"/>
        <v>4259.6197985444123</v>
      </c>
      <c r="R280" s="7">
        <f t="shared" si="32"/>
        <v>133603.63686413862</v>
      </c>
    </row>
    <row r="281" spans="7:18">
      <c r="G281" s="7" t="s">
        <v>82</v>
      </c>
      <c r="H281" s="7">
        <f>-'tabla financiera '!N281</f>
        <v>-4973.4644079554992</v>
      </c>
      <c r="I281" s="40">
        <v>276</v>
      </c>
      <c r="J281" s="40">
        <v>272</v>
      </c>
      <c r="K281" s="23">
        <f t="shared" si="33"/>
        <v>133603.63686413862</v>
      </c>
      <c r="L281" s="7">
        <f t="shared" si="28"/>
        <v>691.78864827293137</v>
      </c>
      <c r="M281" s="7">
        <f>+'tabla financiera '!M277</f>
        <v>669.75218715495794</v>
      </c>
      <c r="N281" s="7">
        <f t="shared" si="29"/>
        <v>22.036461117973431</v>
      </c>
      <c r="O281" s="23">
        <f t="shared" si="30"/>
        <v>4973.4644079554992</v>
      </c>
      <c r="P281" s="23">
        <f t="shared" si="34"/>
        <v>669.75218715495794</v>
      </c>
      <c r="Q281" s="7">
        <f t="shared" si="31"/>
        <v>4281.6757596825682</v>
      </c>
      <c r="R281" s="7">
        <f t="shared" si="32"/>
        <v>129321.96110445606</v>
      </c>
    </row>
    <row r="282" spans="7:18">
      <c r="G282" s="7" t="s">
        <v>82</v>
      </c>
      <c r="H282" s="7">
        <f>-'tabla financiera '!N282</f>
        <v>-4973.4644079554992</v>
      </c>
      <c r="I282" s="40">
        <v>277</v>
      </c>
      <c r="J282" s="40">
        <v>273</v>
      </c>
      <c r="K282" s="23">
        <f t="shared" si="33"/>
        <v>129321.96110445606</v>
      </c>
      <c r="L282" s="7">
        <f t="shared" si="28"/>
        <v>669.61848318119928</v>
      </c>
      <c r="M282" s="7">
        <f>+'tabla financiera '!M278</f>
        <v>648.23362605095519</v>
      </c>
      <c r="N282" s="7">
        <f t="shared" si="29"/>
        <v>21.384857130244086</v>
      </c>
      <c r="O282" s="23">
        <f t="shared" si="30"/>
        <v>4973.4644079554992</v>
      </c>
      <c r="P282" s="23">
        <f t="shared" si="34"/>
        <v>648.23362605095519</v>
      </c>
      <c r="Q282" s="7">
        <f t="shared" si="31"/>
        <v>4303.8459247742994</v>
      </c>
      <c r="R282" s="7">
        <f t="shared" si="32"/>
        <v>125018.11517968176</v>
      </c>
    </row>
    <row r="283" spans="7:18">
      <c r="G283" s="7" t="s">
        <v>82</v>
      </c>
      <c r="H283" s="7">
        <f>-'tabla financiera '!N283</f>
        <v>-4973.4644079554992</v>
      </c>
      <c r="I283" s="40">
        <v>278</v>
      </c>
      <c r="J283" s="40">
        <v>274</v>
      </c>
      <c r="K283" s="23">
        <f t="shared" si="33"/>
        <v>125018.11517968176</v>
      </c>
      <c r="L283" s="7">
        <f t="shared" si="28"/>
        <v>647.33352279720737</v>
      </c>
      <c r="M283" s="7">
        <f>+'tabla financiera '!M279</f>
        <v>626.60747214143248</v>
      </c>
      <c r="N283" s="7">
        <f t="shared" si="29"/>
        <v>20.726050655774884</v>
      </c>
      <c r="O283" s="23">
        <f t="shared" si="30"/>
        <v>4973.4644079554992</v>
      </c>
      <c r="P283" s="23">
        <f t="shared" si="34"/>
        <v>626.60747214143248</v>
      </c>
      <c r="Q283" s="7">
        <f t="shared" si="31"/>
        <v>4326.1308851582917</v>
      </c>
      <c r="R283" s="7">
        <f t="shared" si="32"/>
        <v>120691.98429452347</v>
      </c>
    </row>
    <row r="284" spans="7:18">
      <c r="G284" s="7" t="s">
        <v>82</v>
      </c>
      <c r="H284" s="7">
        <f>-'tabla financiera '!N284</f>
        <v>-4973.4644079554992</v>
      </c>
      <c r="I284" s="40">
        <v>279</v>
      </c>
      <c r="J284" s="40">
        <v>275</v>
      </c>
      <c r="K284" s="23">
        <f t="shared" si="33"/>
        <v>120691.98429452347</v>
      </c>
      <c r="L284" s="7">
        <f t="shared" si="28"/>
        <v>624.93317272036938</v>
      </c>
      <c r="M284" s="7">
        <f>+'tabla financiera '!M280</f>
        <v>604.87318746236224</v>
      </c>
      <c r="N284" s="7">
        <f t="shared" si="29"/>
        <v>20.059985258007146</v>
      </c>
      <c r="O284" s="23">
        <f t="shared" si="30"/>
        <v>4973.4644079554992</v>
      </c>
      <c r="P284" s="23">
        <f t="shared" si="34"/>
        <v>604.87318746236224</v>
      </c>
      <c r="Q284" s="7">
        <f t="shared" si="31"/>
        <v>4348.5312352351302</v>
      </c>
      <c r="R284" s="7">
        <f t="shared" si="32"/>
        <v>116343.45305928834</v>
      </c>
    </row>
    <row r="285" spans="7:18">
      <c r="G285" s="7" t="s">
        <v>82</v>
      </c>
      <c r="H285" s="7">
        <f>-'tabla financiera '!N285</f>
        <v>-4973.4644079554992</v>
      </c>
      <c r="I285" s="40">
        <v>280</v>
      </c>
      <c r="J285" s="40">
        <v>276</v>
      </c>
      <c r="K285" s="23">
        <f t="shared" si="33"/>
        <v>116343.45305928834</v>
      </c>
      <c r="L285" s="7">
        <f t="shared" si="28"/>
        <v>602.41683547234197</v>
      </c>
      <c r="M285" s="7">
        <f>+'tabla financiera '!M281</f>
        <v>583.03023135989656</v>
      </c>
      <c r="N285" s="7">
        <f t="shared" si="29"/>
        <v>19.386604112445411</v>
      </c>
      <c r="O285" s="23">
        <f t="shared" si="30"/>
        <v>4973.4644079554992</v>
      </c>
      <c r="P285" s="23">
        <f t="shared" si="34"/>
        <v>583.03023135989656</v>
      </c>
      <c r="Q285" s="7">
        <f t="shared" si="31"/>
        <v>4371.0475724831576</v>
      </c>
      <c r="R285" s="7">
        <f t="shared" si="32"/>
        <v>111972.40548680518</v>
      </c>
    </row>
    <row r="286" spans="7:18">
      <c r="G286" s="7" t="s">
        <v>82</v>
      </c>
      <c r="H286" s="7">
        <f>-'tabla financiera '!N286</f>
        <v>-4973.4644079554992</v>
      </c>
      <c r="I286" s="40">
        <v>281</v>
      </c>
      <c r="J286" s="40">
        <v>277</v>
      </c>
      <c r="K286" s="23">
        <f t="shared" si="33"/>
        <v>111972.40548680518</v>
      </c>
      <c r="L286" s="7">
        <f t="shared" si="28"/>
        <v>579.7839104810879</v>
      </c>
      <c r="M286" s="7">
        <f>+'tabla financiera '!M282</f>
        <v>561.07806047691849</v>
      </c>
      <c r="N286" s="7">
        <f t="shared" si="29"/>
        <v>18.705850004169406</v>
      </c>
      <c r="O286" s="23">
        <f t="shared" si="30"/>
        <v>4973.4644079554992</v>
      </c>
      <c r="P286" s="23">
        <f t="shared" si="34"/>
        <v>561.07806047691849</v>
      </c>
      <c r="Q286" s="7">
        <f t="shared" si="31"/>
        <v>4393.6804974744109</v>
      </c>
      <c r="R286" s="7">
        <f t="shared" si="32"/>
        <v>107578.72498933076</v>
      </c>
    </row>
    <row r="287" spans="7:18">
      <c r="G287" s="7" t="s">
        <v>82</v>
      </c>
      <c r="H287" s="7">
        <f>-'tabla financiera '!N287</f>
        <v>-4973.4644079554992</v>
      </c>
      <c r="I287" s="40">
        <v>282</v>
      </c>
      <c r="J287" s="40">
        <v>278</v>
      </c>
      <c r="K287" s="23">
        <f t="shared" si="33"/>
        <v>107578.72498933076</v>
      </c>
      <c r="L287" s="7">
        <f t="shared" si="28"/>
        <v>557.03379406485715</v>
      </c>
      <c r="M287" s="7">
        <f>+'tabla financiera '!M283</f>
        <v>539.01612873952558</v>
      </c>
      <c r="N287" s="7">
        <f t="shared" si="29"/>
        <v>18.017665325331564</v>
      </c>
      <c r="O287" s="23">
        <f t="shared" si="30"/>
        <v>4973.4644079554992</v>
      </c>
      <c r="P287" s="23">
        <f t="shared" si="34"/>
        <v>539.01612873952558</v>
      </c>
      <c r="Q287" s="7">
        <f t="shared" si="31"/>
        <v>4416.4306138906422</v>
      </c>
      <c r="R287" s="7">
        <f t="shared" si="32"/>
        <v>103162.29437544012</v>
      </c>
    </row>
    <row r="288" spans="7:18">
      <c r="G288" s="7" t="s">
        <v>82</v>
      </c>
      <c r="H288" s="7">
        <f>-'tabla financiera '!N288</f>
        <v>-4973.4644079554992</v>
      </c>
      <c r="I288" s="40">
        <v>283</v>
      </c>
      <c r="J288" s="40">
        <v>279</v>
      </c>
      <c r="K288" s="23">
        <f t="shared" si="33"/>
        <v>103162.29437544012</v>
      </c>
      <c r="L288" s="7">
        <f t="shared" si="28"/>
        <v>534.16587941608555</v>
      </c>
      <c r="M288" s="7">
        <f>+'tabla financiera '!M284</f>
        <v>516.84388734344577</v>
      </c>
      <c r="N288" s="7">
        <f t="shared" si="29"/>
        <v>17.321992072639773</v>
      </c>
      <c r="O288" s="23">
        <f t="shared" si="30"/>
        <v>4973.4644079554992</v>
      </c>
      <c r="P288" s="23">
        <f t="shared" si="34"/>
        <v>516.84388734344577</v>
      </c>
      <c r="Q288" s="7">
        <f t="shared" si="31"/>
        <v>4439.2985285394134</v>
      </c>
      <c r="R288" s="7">
        <f t="shared" si="32"/>
        <v>98722.995846900711</v>
      </c>
    </row>
    <row r="289" spans="7:18">
      <c r="G289" s="7" t="s">
        <v>82</v>
      </c>
      <c r="H289" s="7">
        <f>-'tabla financiera '!N289</f>
        <v>-4973.4644079554992</v>
      </c>
      <c r="I289" s="40">
        <v>284</v>
      </c>
      <c r="J289" s="40">
        <v>280</v>
      </c>
      <c r="K289" s="23">
        <f t="shared" si="33"/>
        <v>98722.995846900711</v>
      </c>
      <c r="L289" s="7">
        <f t="shared" si="28"/>
        <v>511.17955658520901</v>
      </c>
      <c r="M289" s="7">
        <f>+'tabla financiera '!M285</f>
        <v>494.56078474038549</v>
      </c>
      <c r="N289" s="7">
        <f t="shared" si="29"/>
        <v>16.618771844823527</v>
      </c>
      <c r="O289" s="23">
        <f t="shared" si="30"/>
        <v>4973.4644079554992</v>
      </c>
      <c r="P289" s="23">
        <f t="shared" si="34"/>
        <v>494.56078474038549</v>
      </c>
      <c r="Q289" s="7">
        <f t="shared" si="31"/>
        <v>4462.2848513702902</v>
      </c>
      <c r="R289" s="7">
        <f t="shared" si="32"/>
        <v>94260.710995530419</v>
      </c>
    </row>
    <row r="290" spans="7:18">
      <c r="G290" s="7" t="s">
        <v>82</v>
      </c>
      <c r="H290" s="7">
        <f>-'tabla financiera '!N290</f>
        <v>-4973.4644079554992</v>
      </c>
      <c r="I290" s="40">
        <v>285</v>
      </c>
      <c r="J290" s="40">
        <v>281</v>
      </c>
      <c r="K290" s="23">
        <f t="shared" si="33"/>
        <v>94260.710995530419</v>
      </c>
      <c r="L290" s="7">
        <f t="shared" si="28"/>
        <v>488.07421246439469</v>
      </c>
      <c r="M290" s="7">
        <f>+'tabla financiera '!M286</f>
        <v>472.16626662430997</v>
      </c>
      <c r="N290" s="7">
        <f t="shared" si="29"/>
        <v>15.907945840084722</v>
      </c>
      <c r="O290" s="23">
        <f t="shared" si="30"/>
        <v>4973.4644079554992</v>
      </c>
      <c r="P290" s="23">
        <f t="shared" si="34"/>
        <v>472.16626662430997</v>
      </c>
      <c r="Q290" s="7">
        <f t="shared" si="31"/>
        <v>4485.3901954911044</v>
      </c>
      <c r="R290" s="7">
        <f t="shared" si="32"/>
        <v>89775.320800039321</v>
      </c>
    </row>
    <row r="291" spans="7:18">
      <c r="G291" s="7" t="s">
        <v>82</v>
      </c>
      <c r="H291" s="7">
        <f>-'tabla financiera '!N291</f>
        <v>-4973.4644079554992</v>
      </c>
      <c r="I291" s="40">
        <v>286</v>
      </c>
      <c r="J291" s="40">
        <v>282</v>
      </c>
      <c r="K291" s="23">
        <f t="shared" si="33"/>
        <v>89775.320800039321</v>
      </c>
      <c r="L291" s="7">
        <f t="shared" si="28"/>
        <v>464.84923077118805</v>
      </c>
      <c r="M291" s="7">
        <f>+'tabla financiera '!M287</f>
        <v>449.65977591765397</v>
      </c>
      <c r="N291" s="7">
        <f t="shared" si="29"/>
        <v>15.189454853534073</v>
      </c>
      <c r="O291" s="23">
        <f t="shared" si="30"/>
        <v>4973.4644079554992</v>
      </c>
      <c r="P291" s="23">
        <f t="shared" si="34"/>
        <v>449.65977591765397</v>
      </c>
      <c r="Q291" s="7">
        <f t="shared" si="31"/>
        <v>4508.6151771843115</v>
      </c>
      <c r="R291" s="7">
        <f t="shared" si="32"/>
        <v>85266.705622855006</v>
      </c>
    </row>
    <row r="292" spans="7:18">
      <c r="G292" s="7" t="s">
        <v>82</v>
      </c>
      <c r="H292" s="7">
        <f>-'tabla financiera '!N292</f>
        <v>-4973.4644079554992</v>
      </c>
      <c r="I292" s="40">
        <v>287</v>
      </c>
      <c r="J292" s="40">
        <v>283</v>
      </c>
      <c r="K292" s="23">
        <f t="shared" si="33"/>
        <v>85266.705622855006</v>
      </c>
      <c r="L292" s="7">
        <f t="shared" si="28"/>
        <v>441.50399203207445</v>
      </c>
      <c r="M292" s="7">
        <f>+'tabla financiera '!M288</f>
        <v>427.04075275746476</v>
      </c>
      <c r="N292" s="7">
        <f t="shared" si="29"/>
        <v>14.463239274609691</v>
      </c>
      <c r="O292" s="23">
        <f t="shared" si="30"/>
        <v>4973.4644079554992</v>
      </c>
      <c r="P292" s="23">
        <f t="shared" si="34"/>
        <v>427.04075275746476</v>
      </c>
      <c r="Q292" s="7">
        <f t="shared" si="31"/>
        <v>4531.960415923425</v>
      </c>
      <c r="R292" s="7">
        <f t="shared" si="32"/>
        <v>80734.745206931577</v>
      </c>
    </row>
    <row r="293" spans="7:18">
      <c r="G293" s="7" t="s">
        <v>82</v>
      </c>
      <c r="H293" s="7">
        <f>-'tabla financiera '!N293</f>
        <v>-4973.4644079554992</v>
      </c>
      <c r="I293" s="40">
        <v>288</v>
      </c>
      <c r="J293" s="40">
        <v>284</v>
      </c>
      <c r="K293" s="23">
        <f t="shared" si="33"/>
        <v>80734.745206931577</v>
      </c>
      <c r="L293" s="7">
        <f t="shared" si="28"/>
        <v>418.03787356595632</v>
      </c>
      <c r="M293" s="7">
        <f>+'tabla financiera '!M289</f>
        <v>404.3086344814746</v>
      </c>
      <c r="N293" s="7">
        <f t="shared" si="29"/>
        <v>13.729239084481719</v>
      </c>
      <c r="O293" s="23">
        <f t="shared" si="30"/>
        <v>4973.4644079554992</v>
      </c>
      <c r="P293" s="23">
        <f t="shared" si="34"/>
        <v>404.3086344814746</v>
      </c>
      <c r="Q293" s="7">
        <f t="shared" si="31"/>
        <v>4555.4265343895431</v>
      </c>
      <c r="R293" s="7">
        <f t="shared" si="32"/>
        <v>76179.318672542038</v>
      </c>
    </row>
    <row r="294" spans="7:18">
      <c r="G294" s="7" t="s">
        <v>82</v>
      </c>
      <c r="H294" s="7">
        <f>-'tabla financiera '!N294</f>
        <v>-4973.4644079554992</v>
      </c>
      <c r="I294" s="40">
        <v>289</v>
      </c>
      <c r="J294" s="40">
        <v>285</v>
      </c>
      <c r="K294" s="23">
        <f t="shared" si="33"/>
        <v>76179.318672542038</v>
      </c>
      <c r="L294" s="7">
        <f t="shared" si="28"/>
        <v>394.45024946754478</v>
      </c>
      <c r="M294" s="7">
        <f>+'tabla financiera '!M290</f>
        <v>381.46285561410451</v>
      </c>
      <c r="N294" s="7">
        <f t="shared" si="29"/>
        <v>12.987393853440267</v>
      </c>
      <c r="O294" s="23">
        <f t="shared" si="30"/>
        <v>4973.4644079554992</v>
      </c>
      <c r="P294" s="23">
        <f t="shared" si="34"/>
        <v>381.46285561410451</v>
      </c>
      <c r="Q294" s="7">
        <f t="shared" si="31"/>
        <v>4579.0141584879548</v>
      </c>
      <c r="R294" s="7">
        <f t="shared" si="32"/>
        <v>71600.304514054078</v>
      </c>
    </row>
    <row r="295" spans="7:18">
      <c r="G295" s="7" t="s">
        <v>82</v>
      </c>
      <c r="H295" s="7">
        <f>-'tabla financiera '!N295</f>
        <v>-4973.4644079554992</v>
      </c>
      <c r="I295" s="40">
        <v>290</v>
      </c>
      <c r="J295" s="40">
        <v>286</v>
      </c>
      <c r="K295" s="23">
        <f t="shared" si="33"/>
        <v>71600.304514054078</v>
      </c>
      <c r="L295" s="7">
        <f t="shared" si="28"/>
        <v>370.74049059066448</v>
      </c>
      <c r="M295" s="7">
        <f>+'tabla financiera '!M291</f>
        <v>358.50284785239757</v>
      </c>
      <c r="N295" s="7">
        <f t="shared" si="29"/>
        <v>12.237642738266914</v>
      </c>
      <c r="O295" s="23">
        <f t="shared" si="30"/>
        <v>4973.4644079554992</v>
      </c>
      <c r="P295" s="23">
        <f t="shared" si="34"/>
        <v>358.50284785239757</v>
      </c>
      <c r="Q295" s="7">
        <f t="shared" si="31"/>
        <v>4602.723917364835</v>
      </c>
      <c r="R295" s="7">
        <f t="shared" si="32"/>
        <v>66997.580596689237</v>
      </c>
    </row>
    <row r="296" spans="7:18">
      <c r="G296" s="7" t="s">
        <v>82</v>
      </c>
      <c r="H296" s="7">
        <f>-'tabla financiera '!N296</f>
        <v>-4973.4644079554992</v>
      </c>
      <c r="I296" s="40">
        <v>291</v>
      </c>
      <c r="J296" s="40">
        <v>287</v>
      </c>
      <c r="K296" s="23">
        <f t="shared" si="33"/>
        <v>66997.580596689237</v>
      </c>
      <c r="L296" s="7">
        <f t="shared" si="28"/>
        <v>346.90796453147317</v>
      </c>
      <c r="M296" s="7">
        <f>+'tabla financiera '!M292</f>
        <v>335.42804005188208</v>
      </c>
      <c r="N296" s="7">
        <f t="shared" si="29"/>
        <v>11.479924479591091</v>
      </c>
      <c r="O296" s="23">
        <f t="shared" si="30"/>
        <v>4973.4644079554992</v>
      </c>
      <c r="P296" s="23">
        <f t="shared" si="34"/>
        <v>335.42804005188208</v>
      </c>
      <c r="Q296" s="7">
        <f t="shared" si="31"/>
        <v>4626.5564434240259</v>
      </c>
      <c r="R296" s="7">
        <f t="shared" si="32"/>
        <v>62371.024153265214</v>
      </c>
    </row>
    <row r="297" spans="7:18">
      <c r="G297" s="7" t="s">
        <v>82</v>
      </c>
      <c r="H297" s="7">
        <f>-'tabla financiera '!N297</f>
        <v>-4973.4644079554992</v>
      </c>
      <c r="I297" s="40">
        <v>292</v>
      </c>
      <c r="J297" s="40">
        <v>288</v>
      </c>
      <c r="K297" s="23">
        <f t="shared" si="33"/>
        <v>62371.024153265214</v>
      </c>
      <c r="L297" s="7">
        <f t="shared" si="28"/>
        <v>322.95203561159349</v>
      </c>
      <c r="M297" s="7">
        <f>+'tabla financiera '!M293</f>
        <v>312.23785821236396</v>
      </c>
      <c r="N297" s="7">
        <f t="shared" si="29"/>
        <v>10.714177399229527</v>
      </c>
      <c r="O297" s="23">
        <f t="shared" si="30"/>
        <v>4973.4644079554992</v>
      </c>
      <c r="P297" s="23">
        <f t="shared" si="34"/>
        <v>312.23785821236396</v>
      </c>
      <c r="Q297" s="7">
        <f t="shared" si="31"/>
        <v>4650.5123723439056</v>
      </c>
      <c r="R297" s="7">
        <f t="shared" si="32"/>
        <v>57720.511780921312</v>
      </c>
    </row>
    <row r="298" spans="7:18">
      <c r="G298" s="7" t="s">
        <v>82</v>
      </c>
      <c r="H298" s="7">
        <f>-'tabla financiera '!N298</f>
        <v>-4973.4644079554992</v>
      </c>
      <c r="I298" s="40">
        <v>293</v>
      </c>
      <c r="J298" s="40">
        <v>289</v>
      </c>
      <c r="K298" s="23">
        <f t="shared" si="33"/>
        <v>57720.511780921312</v>
      </c>
      <c r="L298" s="7">
        <f t="shared" si="28"/>
        <v>298.87206486115747</v>
      </c>
      <c r="M298" s="7">
        <f>+'tabla financiera '!M294</f>
        <v>288.93172546364832</v>
      </c>
      <c r="N298" s="7">
        <f t="shared" si="29"/>
        <v>9.940339397509149</v>
      </c>
      <c r="O298" s="23">
        <f t="shared" si="30"/>
        <v>4973.4644079554992</v>
      </c>
      <c r="P298" s="23">
        <f t="shared" si="34"/>
        <v>288.93172546364832</v>
      </c>
      <c r="Q298" s="7">
        <f t="shared" si="31"/>
        <v>4674.5923430943421</v>
      </c>
      <c r="R298" s="7">
        <f t="shared" si="32"/>
        <v>53045.919437826968</v>
      </c>
    </row>
    <row r="299" spans="7:18">
      <c r="G299" s="7" t="s">
        <v>82</v>
      </c>
      <c r="H299" s="7">
        <f>-'tabla financiera '!N299</f>
        <v>-4973.4644079554992</v>
      </c>
      <c r="I299" s="40">
        <v>294</v>
      </c>
      <c r="J299" s="40">
        <v>290</v>
      </c>
      <c r="K299" s="23">
        <f t="shared" si="33"/>
        <v>53045.919437826968</v>
      </c>
      <c r="L299" s="7">
        <f t="shared" si="28"/>
        <v>274.66741000176387</v>
      </c>
      <c r="M299" s="7">
        <f>+'tabla financiera '!M295</f>
        <v>265.50906205118906</v>
      </c>
      <c r="N299" s="7">
        <f t="shared" si="29"/>
        <v>9.1583479505748073</v>
      </c>
      <c r="O299" s="23">
        <f t="shared" si="30"/>
        <v>4973.4644079554992</v>
      </c>
      <c r="P299" s="23">
        <f t="shared" si="34"/>
        <v>265.50906205118906</v>
      </c>
      <c r="Q299" s="7">
        <f t="shared" si="31"/>
        <v>4698.7969979537356</v>
      </c>
      <c r="R299" s="7">
        <f t="shared" si="32"/>
        <v>48347.12243987323</v>
      </c>
    </row>
    <row r="300" spans="7:18">
      <c r="G300" s="7" t="s">
        <v>82</v>
      </c>
      <c r="H300" s="7">
        <f>-'tabla financiera '!N300</f>
        <v>-4973.4644079554992</v>
      </c>
      <c r="I300" s="40">
        <v>295</v>
      </c>
      <c r="J300" s="40">
        <v>291</v>
      </c>
      <c r="K300" s="23">
        <f t="shared" si="33"/>
        <v>48347.12243987323</v>
      </c>
      <c r="L300" s="7">
        <f t="shared" si="28"/>
        <v>250.33742542934664</v>
      </c>
      <c r="M300" s="7">
        <f>+'tabla financiera '!M296</f>
        <v>241.96928532166748</v>
      </c>
      <c r="N300" s="7">
        <f t="shared" si="29"/>
        <v>8.3681401076791531</v>
      </c>
      <c r="O300" s="23">
        <f t="shared" si="30"/>
        <v>4973.4644079554992</v>
      </c>
      <c r="P300" s="23">
        <f t="shared" si="34"/>
        <v>241.96928532166748</v>
      </c>
      <c r="Q300" s="7">
        <f t="shared" si="31"/>
        <v>4723.1269825261525</v>
      </c>
      <c r="R300" s="7">
        <f t="shared" si="32"/>
        <v>43623.995457347075</v>
      </c>
    </row>
    <row r="301" spans="7:18">
      <c r="G301" s="7" t="s">
        <v>82</v>
      </c>
      <c r="H301" s="7">
        <f>-'tabla financiera '!N301</f>
        <v>-4973.4644079554992</v>
      </c>
      <c r="I301" s="40">
        <v>296</v>
      </c>
      <c r="J301" s="40">
        <v>292</v>
      </c>
      <c r="K301" s="23">
        <f t="shared" si="33"/>
        <v>43623.995457347075</v>
      </c>
      <c r="L301" s="7">
        <f t="shared" si="28"/>
        <v>225.881462196955</v>
      </c>
      <c r="M301" s="7">
        <f>+'tabla financiera '!M297</f>
        <v>218.31180970849834</v>
      </c>
      <c r="N301" s="7">
        <f t="shared" si="29"/>
        <v>7.5696524884566543</v>
      </c>
      <c r="O301" s="23">
        <f t="shared" si="30"/>
        <v>4973.4644079554992</v>
      </c>
      <c r="P301" s="23">
        <f t="shared" si="34"/>
        <v>218.31180970849834</v>
      </c>
      <c r="Q301" s="7">
        <f t="shared" si="31"/>
        <v>4747.5829457585442</v>
      </c>
      <c r="R301" s="7">
        <f t="shared" si="32"/>
        <v>38876.412511588533</v>
      </c>
    </row>
    <row r="302" spans="7:18">
      <c r="G302" s="7" t="s">
        <v>82</v>
      </c>
      <c r="H302" s="7">
        <f>-'tabla financiera '!N302</f>
        <v>-4973.4644079554992</v>
      </c>
      <c r="I302" s="40">
        <v>297</v>
      </c>
      <c r="J302" s="40">
        <v>293</v>
      </c>
      <c r="K302" s="23">
        <f t="shared" si="33"/>
        <v>38876.412511588533</v>
      </c>
      <c r="L302" s="7">
        <f t="shared" si="28"/>
        <v>201.29886799744418</v>
      </c>
      <c r="M302" s="7">
        <f>+'tabla financiera '!M298</f>
        <v>194.5360467172633</v>
      </c>
      <c r="N302" s="7">
        <f t="shared" si="29"/>
        <v>6.7628212801808729</v>
      </c>
      <c r="O302" s="23">
        <f t="shared" si="30"/>
        <v>4973.4644079554992</v>
      </c>
      <c r="P302" s="23">
        <f t="shared" si="34"/>
        <v>194.5360467172633</v>
      </c>
      <c r="Q302" s="7">
        <f t="shared" si="31"/>
        <v>4772.165539958055</v>
      </c>
      <c r="R302" s="7">
        <f t="shared" si="32"/>
        <v>34104.246971630477</v>
      </c>
    </row>
    <row r="303" spans="7:18">
      <c r="G303" s="7" t="s">
        <v>82</v>
      </c>
      <c r="H303" s="7">
        <f>-'tabla financiera '!N303</f>
        <v>-4973.4644079554992</v>
      </c>
      <c r="I303" s="40">
        <v>298</v>
      </c>
      <c r="J303" s="40">
        <v>294</v>
      </c>
      <c r="K303" s="23">
        <f t="shared" si="33"/>
        <v>34104.246971630477</v>
      </c>
      <c r="L303" s="7">
        <f t="shared" si="28"/>
        <v>176.58898714607662</v>
      </c>
      <c r="M303" s="7">
        <f>+'tabla financiera '!M299</f>
        <v>170.64140491107213</v>
      </c>
      <c r="N303" s="7">
        <f t="shared" si="29"/>
        <v>5.9475822350044893</v>
      </c>
      <c r="O303" s="23">
        <f t="shared" si="30"/>
        <v>4973.4644079554992</v>
      </c>
      <c r="P303" s="23">
        <f t="shared" si="34"/>
        <v>170.64140491107213</v>
      </c>
      <c r="Q303" s="7">
        <f t="shared" si="31"/>
        <v>4796.8754208094224</v>
      </c>
      <c r="R303" s="7">
        <f t="shared" si="32"/>
        <v>29307.371550821055</v>
      </c>
    </row>
    <row r="304" spans="7:18">
      <c r="G304" s="7" t="s">
        <v>82</v>
      </c>
      <c r="H304" s="7">
        <f>-'tabla financiera '!N304</f>
        <v>-4973.4644079554992</v>
      </c>
      <c r="I304" s="40">
        <v>299</v>
      </c>
      <c r="J304" s="40">
        <v>295</v>
      </c>
      <c r="K304" s="23">
        <f t="shared" si="33"/>
        <v>29307.371550821055</v>
      </c>
      <c r="L304" s="7">
        <f t="shared" si="28"/>
        <v>151.75116056303307</v>
      </c>
      <c r="M304" s="7">
        <f>+'tabla financiera '!M300</f>
        <v>146.62728989585</v>
      </c>
      <c r="N304" s="7">
        <f t="shared" si="29"/>
        <v>5.1238706671830698</v>
      </c>
      <c r="O304" s="23">
        <f t="shared" si="30"/>
        <v>4973.4644079554992</v>
      </c>
      <c r="P304" s="23">
        <f t="shared" si="34"/>
        <v>146.62728989585</v>
      </c>
      <c r="Q304" s="7">
        <f t="shared" si="31"/>
        <v>4821.7132473924657</v>
      </c>
      <c r="R304" s="7">
        <f t="shared" si="32"/>
        <v>24485.65830342859</v>
      </c>
    </row>
    <row r="305" spans="7:18">
      <c r="G305" s="7" t="s">
        <v>82</v>
      </c>
      <c r="H305" s="7">
        <f>-'tabla financiera '!N305</f>
        <v>-4973.4644079554992</v>
      </c>
      <c r="I305" s="40">
        <v>300</v>
      </c>
      <c r="J305" s="40">
        <v>296</v>
      </c>
      <c r="K305" s="23">
        <f t="shared" si="33"/>
        <v>24485.65830342859</v>
      </c>
      <c r="L305" s="7">
        <f t="shared" si="28"/>
        <v>126.78472575583321</v>
      </c>
      <c r="M305" s="7">
        <f>+'tabla financiera '!M301</f>
        <v>122.49310430555175</v>
      </c>
      <c r="N305" s="7">
        <f t="shared" si="29"/>
        <v>4.291621450281454</v>
      </c>
      <c r="O305" s="23">
        <f t="shared" si="30"/>
        <v>4973.4644079554992</v>
      </c>
      <c r="P305" s="23">
        <f t="shared" si="34"/>
        <v>122.49310430555175</v>
      </c>
      <c r="Q305" s="7">
        <f t="shared" si="31"/>
        <v>4846.6796821996659</v>
      </c>
      <c r="R305" s="7">
        <f t="shared" si="32"/>
        <v>19638.978621228925</v>
      </c>
    </row>
    <row r="306" spans="7:18">
      <c r="G306" s="10" t="s">
        <v>84</v>
      </c>
      <c r="H306" s="43">
        <f>+IRR(H5:H305,0)</f>
        <v>5.1779177910883552E-3</v>
      </c>
      <c r="J306" s="40">
        <v>297</v>
      </c>
      <c r="K306" s="23">
        <f t="shared" si="33"/>
        <v>19638.978621228925</v>
      </c>
      <c r="L306" s="7">
        <f t="shared" si="28"/>
        <v>101.6890168016651</v>
      </c>
      <c r="M306" s="7">
        <f>+'tabla financiera '!M302</f>
        <v>98.238247787302029</v>
      </c>
      <c r="N306" s="7">
        <f t="shared" si="29"/>
        <v>3.4507690143630754</v>
      </c>
      <c r="O306" s="23">
        <f t="shared" si="30"/>
        <v>4973.4644079554992</v>
      </c>
      <c r="P306" s="23">
        <f t="shared" si="34"/>
        <v>98.238247787302029</v>
      </c>
      <c r="Q306" s="7">
        <f t="shared" si="31"/>
        <v>4871.7753911538339</v>
      </c>
      <c r="R306" s="7">
        <f t="shared" si="32"/>
        <v>14767.203230075091</v>
      </c>
    </row>
    <row r="307" spans="7:18">
      <c r="G307" s="25" t="s">
        <v>85</v>
      </c>
      <c r="H307" s="44">
        <f>POWER(1+H306,'tabla financiera '!D5)-1</f>
        <v>6.3935428573245856E-2</v>
      </c>
      <c r="J307" s="40">
        <v>298</v>
      </c>
      <c r="K307" s="23">
        <f t="shared" si="33"/>
        <v>14767.203230075091</v>
      </c>
      <c r="L307" s="7">
        <f t="shared" si="28"/>
        <v>76.463364329623232</v>
      </c>
      <c r="M307" s="7">
        <f>+'tabla financiera '!M303</f>
        <v>73.862116986461047</v>
      </c>
      <c r="N307" s="7">
        <f t="shared" si="29"/>
        <v>2.6012473431621856</v>
      </c>
      <c r="O307" s="23">
        <f t="shared" si="30"/>
        <v>4973.4644079554992</v>
      </c>
      <c r="P307" s="23">
        <f t="shared" si="34"/>
        <v>73.862116986461047</v>
      </c>
      <c r="Q307" s="7">
        <f t="shared" si="31"/>
        <v>4897.0010436258763</v>
      </c>
      <c r="R307" s="7">
        <f t="shared" si="32"/>
        <v>9870.2021864492144</v>
      </c>
    </row>
    <row r="308" spans="7:18">
      <c r="J308" s="40">
        <v>299</v>
      </c>
      <c r="K308" s="23">
        <f t="shared" si="33"/>
        <v>9870.2021864492144</v>
      </c>
      <c r="L308" s="7">
        <f t="shared" si="28"/>
        <v>51.10709550285457</v>
      </c>
      <c r="M308" s="7">
        <f>+'tabla financiera '!M304</f>
        <v>49.364105531615849</v>
      </c>
      <c r="N308" s="7">
        <f t="shared" si="29"/>
        <v>1.7429899712387211</v>
      </c>
      <c r="O308" s="23">
        <f t="shared" si="30"/>
        <v>4973.4644079554992</v>
      </c>
      <c r="P308" s="23">
        <f t="shared" si="34"/>
        <v>49.364105531615849</v>
      </c>
      <c r="Q308" s="7">
        <f t="shared" si="31"/>
        <v>4922.3573124526447</v>
      </c>
      <c r="R308" s="7">
        <f t="shared" si="32"/>
        <v>4947.8448739965697</v>
      </c>
    </row>
    <row r="309" spans="7:18">
      <c r="J309" s="40">
        <v>300</v>
      </c>
      <c r="K309" s="23">
        <f t="shared" si="33"/>
        <v>4947.8448739965697</v>
      </c>
      <c r="L309" s="7">
        <f t="shared" si="28"/>
        <v>25.619534000612159</v>
      </c>
      <c r="M309" s="7">
        <f>+'tabla financiera '!M305</f>
        <v>24.743604019496434</v>
      </c>
      <c r="N309" s="7">
        <f t="shared" si="29"/>
        <v>0.87592998111572484</v>
      </c>
      <c r="O309" s="23">
        <f t="shared" si="30"/>
        <v>4973.4644079554992</v>
      </c>
      <c r="P309" s="23">
        <f t="shared" si="34"/>
        <v>24.743604019496434</v>
      </c>
      <c r="Q309" s="7">
        <f t="shared" si="31"/>
        <v>4947.8448739548867</v>
      </c>
      <c r="R309" s="7">
        <f t="shared" si="32"/>
        <v>4.1683051676955074E-8</v>
      </c>
    </row>
    <row r="310" spans="7:18">
      <c r="M310" s="10">
        <f>+SUM(M10:M309)</f>
        <v>707691.45790928346</v>
      </c>
      <c r="N310" s="10">
        <f>+SUM(N10:N309)</f>
        <v>15000.000000077893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3"/>
  <sheetViews>
    <sheetView workbookViewId="0">
      <selection activeCell="C16" sqref="C16"/>
    </sheetView>
  </sheetViews>
  <sheetFormatPr baseColWidth="10" defaultRowHeight="12"/>
  <cols>
    <col min="1" max="1" width="2.5703125" style="1" customWidth="1"/>
    <col min="2" max="2" width="11.42578125" style="2"/>
    <col min="3" max="3" width="23.28515625" style="1" bestFit="1" customWidth="1"/>
    <col min="4" max="4" width="11.42578125" style="1"/>
    <col min="5" max="5" width="23.28515625" style="1" bestFit="1" customWidth="1"/>
    <col min="6" max="16384" width="11.42578125" style="1"/>
  </cols>
  <sheetData>
    <row r="3" spans="2:5">
      <c r="B3" s="3" t="s">
        <v>238</v>
      </c>
    </row>
    <row r="4" spans="2:5">
      <c r="B4" s="3" t="s">
        <v>239</v>
      </c>
    </row>
    <row r="5" spans="2:5">
      <c r="B5" s="3"/>
    </row>
    <row r="6" spans="2:5">
      <c r="D6" s="10" t="s">
        <v>100</v>
      </c>
    </row>
    <row r="7" spans="2:5">
      <c r="C7" s="25" t="s">
        <v>240</v>
      </c>
      <c r="D7" s="7">
        <v>2</v>
      </c>
    </row>
    <row r="8" spans="2:5">
      <c r="C8" s="25"/>
      <c r="D8" s="7"/>
    </row>
    <row r="9" spans="2:5">
      <c r="C9" s="272" t="s">
        <v>246</v>
      </c>
      <c r="D9" s="272"/>
      <c r="E9" s="272"/>
    </row>
    <row r="10" spans="2:5">
      <c r="B10" s="7" t="s">
        <v>14</v>
      </c>
      <c r="C10" s="7" t="s">
        <v>241</v>
      </c>
      <c r="D10" s="9" t="s">
        <v>243</v>
      </c>
      <c r="E10" s="7" t="s">
        <v>241</v>
      </c>
    </row>
    <row r="11" spans="2:5">
      <c r="B11" s="10" t="s">
        <v>71</v>
      </c>
      <c r="C11" s="7" t="s">
        <v>242</v>
      </c>
      <c r="D11" s="10" t="s">
        <v>244</v>
      </c>
      <c r="E11" s="7" t="s">
        <v>245</v>
      </c>
    </row>
    <row r="12" spans="2:5">
      <c r="B12" s="40">
        <v>1</v>
      </c>
      <c r="C12" s="7">
        <v>100</v>
      </c>
      <c r="D12" s="7">
        <f>1+D7*0.01</f>
        <v>1.02</v>
      </c>
      <c r="E12" s="10">
        <f>+C12*D12</f>
        <v>102</v>
      </c>
    </row>
    <row r="13" spans="2:5">
      <c r="B13" s="40">
        <v>2</v>
      </c>
      <c r="C13" s="10">
        <f>+E12</f>
        <v>102</v>
      </c>
      <c r="D13" s="7">
        <f>+D12</f>
        <v>1.02</v>
      </c>
      <c r="E13" s="10">
        <f>+C13*D13</f>
        <v>104.04</v>
      </c>
    </row>
    <row r="14" spans="2:5">
      <c r="B14" s="40">
        <v>3</v>
      </c>
      <c r="C14" s="10">
        <f t="shared" ref="C14:C18" si="0">+E13</f>
        <v>104.04</v>
      </c>
      <c r="D14" s="7">
        <f t="shared" ref="D14:D18" si="1">+D13</f>
        <v>1.02</v>
      </c>
      <c r="E14" s="10">
        <f t="shared" ref="E14:E18" si="2">+C14*D14</f>
        <v>106.1208</v>
      </c>
    </row>
    <row r="15" spans="2:5">
      <c r="B15" s="40">
        <v>4</v>
      </c>
      <c r="C15" s="10">
        <f t="shared" si="0"/>
        <v>106.1208</v>
      </c>
      <c r="D15" s="7">
        <f t="shared" si="1"/>
        <v>1.02</v>
      </c>
      <c r="E15" s="10">
        <f t="shared" si="2"/>
        <v>108.243216</v>
      </c>
    </row>
    <row r="16" spans="2:5">
      <c r="B16" s="40">
        <v>5</v>
      </c>
      <c r="C16" s="10">
        <f t="shared" si="0"/>
        <v>108.243216</v>
      </c>
      <c r="D16" s="7">
        <f t="shared" si="1"/>
        <v>1.02</v>
      </c>
      <c r="E16" s="10">
        <f t="shared" si="2"/>
        <v>110.40808032000001</v>
      </c>
    </row>
    <row r="17" spans="2:5">
      <c r="B17" s="40">
        <v>6</v>
      </c>
      <c r="C17" s="10">
        <f t="shared" si="0"/>
        <v>110.40808032000001</v>
      </c>
      <c r="D17" s="7">
        <f t="shared" si="1"/>
        <v>1.02</v>
      </c>
      <c r="E17" s="10">
        <f t="shared" si="2"/>
        <v>112.61624192640001</v>
      </c>
    </row>
    <row r="18" spans="2:5">
      <c r="B18" s="40">
        <v>7</v>
      </c>
      <c r="C18" s="10">
        <f t="shared" si="0"/>
        <v>112.61624192640001</v>
      </c>
      <c r="D18" s="7">
        <f t="shared" si="1"/>
        <v>1.02</v>
      </c>
      <c r="E18" s="10">
        <f t="shared" si="2"/>
        <v>114.868566764928</v>
      </c>
    </row>
    <row r="20" spans="2:5">
      <c r="B20" s="3" t="s">
        <v>247</v>
      </c>
    </row>
    <row r="21" spans="2:5">
      <c r="B21" s="3" t="s">
        <v>248</v>
      </c>
    </row>
    <row r="22" spans="2:5">
      <c r="B22" s="3" t="s">
        <v>249</v>
      </c>
    </row>
    <row r="23" spans="2:5">
      <c r="B23" s="3" t="s">
        <v>250</v>
      </c>
    </row>
  </sheetData>
  <mergeCells count="1"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4"/>
  <sheetViews>
    <sheetView topLeftCell="A16" workbookViewId="0">
      <selection activeCell="J118" sqref="J118"/>
    </sheetView>
  </sheetViews>
  <sheetFormatPr baseColWidth="10" defaultRowHeight="12"/>
  <cols>
    <col min="1" max="1" width="2.7109375" style="1" customWidth="1"/>
    <col min="2" max="2" width="6.7109375" style="1" customWidth="1"/>
    <col min="3" max="3" width="26.42578125" style="1" customWidth="1"/>
    <col min="4" max="4" width="19.5703125" style="1" customWidth="1"/>
    <col min="5" max="5" width="23.42578125" style="1" bestFit="1" customWidth="1"/>
    <col min="6" max="6" width="2.140625" style="1" customWidth="1"/>
    <col min="7" max="12" width="11.42578125" style="1"/>
    <col min="13" max="13" width="1.5703125" style="1" customWidth="1"/>
    <col min="14" max="14" width="31" style="1" bestFit="1" customWidth="1"/>
    <col min="15" max="15" width="11.140625" style="1" bestFit="1" customWidth="1"/>
    <col min="16" max="16" width="36" style="1" bestFit="1" customWidth="1"/>
    <col min="17" max="16384" width="11.42578125" style="1"/>
  </cols>
  <sheetData>
    <row r="2" spans="2:16">
      <c r="B2" s="9" t="s">
        <v>170</v>
      </c>
    </row>
    <row r="3" spans="2:16" ht="12.75" thickBot="1"/>
    <row r="4" spans="2:16" ht="12.75" thickTop="1">
      <c r="B4" s="54">
        <v>1</v>
      </c>
      <c r="C4" s="9" t="s">
        <v>107</v>
      </c>
      <c r="E4" s="10" t="s">
        <v>381</v>
      </c>
      <c r="G4" s="10" t="s">
        <v>44</v>
      </c>
      <c r="N4" s="174"/>
      <c r="O4" s="175" t="s">
        <v>158</v>
      </c>
      <c r="P4" s="176"/>
    </row>
    <row r="5" spans="2:16">
      <c r="C5" s="6"/>
      <c r="D5" s="7" t="s">
        <v>109</v>
      </c>
      <c r="E5" s="7" t="s">
        <v>120</v>
      </c>
      <c r="G5" s="7" t="s">
        <v>120</v>
      </c>
      <c r="N5" s="177" t="s">
        <v>391</v>
      </c>
      <c r="O5" s="167" t="s">
        <v>376</v>
      </c>
      <c r="P5" s="178" t="s">
        <v>400</v>
      </c>
    </row>
    <row r="6" spans="2:16">
      <c r="C6" s="6" t="s">
        <v>107</v>
      </c>
      <c r="D6" s="7">
        <v>8</v>
      </c>
      <c r="E6" s="23">
        <v>1200</v>
      </c>
      <c r="G6" s="7">
        <f>+D6*E6</f>
        <v>9600</v>
      </c>
      <c r="N6" s="179" t="s">
        <v>392</v>
      </c>
      <c r="O6" s="155">
        <f>+E10*12</f>
        <v>148800</v>
      </c>
      <c r="P6" s="180" t="s">
        <v>401</v>
      </c>
    </row>
    <row r="7" spans="2:16">
      <c r="C7" s="6" t="s">
        <v>108</v>
      </c>
      <c r="D7" s="7">
        <v>2</v>
      </c>
      <c r="E7" s="23">
        <v>800</v>
      </c>
      <c r="G7" s="7">
        <f t="shared" ref="G7:G8" si="0">+D7*E7</f>
        <v>1600</v>
      </c>
      <c r="N7" s="179" t="s">
        <v>396</v>
      </c>
      <c r="O7" s="155">
        <f>+E17*12</f>
        <v>27600</v>
      </c>
      <c r="P7" s="180" t="s">
        <v>401</v>
      </c>
    </row>
    <row r="8" spans="2:16">
      <c r="C8" s="6" t="s">
        <v>346</v>
      </c>
      <c r="D8" s="7">
        <v>1</v>
      </c>
      <c r="E8" s="23">
        <v>1200</v>
      </c>
      <c r="G8" s="7">
        <f t="shared" si="0"/>
        <v>1200</v>
      </c>
      <c r="N8" s="179" t="s">
        <v>395</v>
      </c>
      <c r="O8" s="155">
        <f>+E51*12</f>
        <v>313200</v>
      </c>
      <c r="P8" s="180" t="s">
        <v>401</v>
      </c>
    </row>
    <row r="9" spans="2:16" ht="12.75" thickBot="1">
      <c r="E9" s="7" t="s">
        <v>393</v>
      </c>
      <c r="G9" s="10">
        <f>+SUM(G6:G8)</f>
        <v>12400</v>
      </c>
      <c r="N9" s="179" t="s">
        <v>394</v>
      </c>
      <c r="O9" s="155">
        <f>+E60</f>
        <v>70980</v>
      </c>
      <c r="P9" s="180" t="s">
        <v>401</v>
      </c>
    </row>
    <row r="10" spans="2:16" ht="13.5" thickTop="1" thickBot="1">
      <c r="C10" s="52" t="s">
        <v>121</v>
      </c>
      <c r="D10" s="128"/>
      <c r="E10" s="74">
        <f>+G9</f>
        <v>12400</v>
      </c>
      <c r="N10" s="179" t="s">
        <v>397</v>
      </c>
      <c r="O10" s="155">
        <f>+E67*12</f>
        <v>27360</v>
      </c>
      <c r="P10" s="180" t="s">
        <v>401</v>
      </c>
    </row>
    <row r="11" spans="2:16" ht="12.75" thickTop="1">
      <c r="G11" s="9" t="s">
        <v>288</v>
      </c>
      <c r="N11" s="179" t="s">
        <v>398</v>
      </c>
      <c r="O11" s="155">
        <f>+D103*12</f>
        <v>22800</v>
      </c>
      <c r="P11" s="180" t="s">
        <v>401</v>
      </c>
    </row>
    <row r="12" spans="2:16">
      <c r="G12" s="6" t="s">
        <v>122</v>
      </c>
      <c r="N12" s="179" t="s">
        <v>399</v>
      </c>
      <c r="O12" s="155">
        <f>+E106*12</f>
        <v>1200</v>
      </c>
      <c r="P12" s="180" t="s">
        <v>401</v>
      </c>
    </row>
    <row r="13" spans="2:16">
      <c r="B13" s="54">
        <v>2</v>
      </c>
      <c r="C13" s="9" t="s">
        <v>125</v>
      </c>
      <c r="E13" s="10" t="s">
        <v>44</v>
      </c>
      <c r="N13" s="179" t="s">
        <v>402</v>
      </c>
      <c r="O13" s="155">
        <f>+G79</f>
        <v>62400</v>
      </c>
      <c r="P13" s="181" t="s">
        <v>403</v>
      </c>
    </row>
    <row r="14" spans="2:16">
      <c r="C14" s="6" t="s">
        <v>123</v>
      </c>
      <c r="E14" s="23">
        <v>1000</v>
      </c>
      <c r="N14" s="179" t="s">
        <v>402</v>
      </c>
      <c r="O14" s="155">
        <f>+G80</f>
        <v>16000</v>
      </c>
      <c r="P14" s="181" t="s">
        <v>403</v>
      </c>
    </row>
    <row r="15" spans="2:16">
      <c r="C15" s="6" t="s">
        <v>124</v>
      </c>
      <c r="E15" s="23">
        <v>1300</v>
      </c>
      <c r="N15" s="179" t="s">
        <v>404</v>
      </c>
      <c r="O15" s="155">
        <f>+D91</f>
        <v>10000</v>
      </c>
      <c r="P15" s="181" t="s">
        <v>403</v>
      </c>
    </row>
    <row r="16" spans="2:16" ht="12.75" thickBot="1">
      <c r="E16" s="7" t="s">
        <v>44</v>
      </c>
      <c r="N16" s="182" t="s">
        <v>405</v>
      </c>
      <c r="O16" s="183"/>
      <c r="P16" s="184" t="s">
        <v>406</v>
      </c>
    </row>
    <row r="17" spans="2:12" ht="13.5" thickTop="1" thickBot="1">
      <c r="C17" s="52" t="s">
        <v>110</v>
      </c>
      <c r="D17" s="128"/>
      <c r="E17" s="75">
        <f>E14+E15</f>
        <v>2300</v>
      </c>
      <c r="L17" s="129"/>
    </row>
    <row r="18" spans="2:12" ht="12.75" thickTop="1"/>
    <row r="19" spans="2:12">
      <c r="B19" s="54">
        <v>3</v>
      </c>
      <c r="C19" s="9" t="s">
        <v>136</v>
      </c>
    </row>
    <row r="20" spans="2:12">
      <c r="E20" s="10" t="s">
        <v>130</v>
      </c>
    </row>
    <row r="21" spans="2:12">
      <c r="B21" s="53" t="s">
        <v>113</v>
      </c>
      <c r="C21" s="9" t="s">
        <v>111</v>
      </c>
      <c r="E21" s="7">
        <v>400</v>
      </c>
    </row>
    <row r="22" spans="2:12">
      <c r="B22" s="129"/>
      <c r="C22" s="9" t="s">
        <v>112</v>
      </c>
      <c r="E22" s="10">
        <f>+E23+E24</f>
        <v>60</v>
      </c>
    </row>
    <row r="23" spans="2:12">
      <c r="B23" s="129"/>
      <c r="C23" s="6" t="s">
        <v>126</v>
      </c>
      <c r="E23" s="7">
        <f>+'Pagos iniciales'!F8</f>
        <v>24</v>
      </c>
    </row>
    <row r="24" spans="2:12">
      <c r="B24" s="129"/>
      <c r="C24" s="6" t="s">
        <v>127</v>
      </c>
      <c r="E24" s="7">
        <f>+'Pagos iniciales'!F9</f>
        <v>36</v>
      </c>
    </row>
    <row r="25" spans="2:12">
      <c r="B25" s="129"/>
      <c r="C25" s="6"/>
      <c r="E25" s="7"/>
    </row>
    <row r="26" spans="2:12">
      <c r="B26" s="129"/>
      <c r="C26" s="6" t="s">
        <v>382</v>
      </c>
      <c r="E26" s="7">
        <v>70</v>
      </c>
    </row>
    <row r="27" spans="2:12">
      <c r="B27" s="129"/>
      <c r="C27" s="6"/>
      <c r="E27" s="7" t="s">
        <v>128</v>
      </c>
    </row>
    <row r="28" spans="2:12" ht="12.75" thickBot="1">
      <c r="B28" s="129"/>
      <c r="C28" s="6" t="s">
        <v>129</v>
      </c>
      <c r="E28" s="7">
        <f>+E26*E22*0.01</f>
        <v>42</v>
      </c>
    </row>
    <row r="29" spans="2:12" ht="12.75" thickTop="1">
      <c r="B29" s="129"/>
      <c r="C29" s="55"/>
      <c r="D29" s="130"/>
      <c r="E29" s="56" t="s">
        <v>44</v>
      </c>
    </row>
    <row r="30" spans="2:12" ht="12.75" thickBot="1">
      <c r="C30" s="57" t="s">
        <v>384</v>
      </c>
      <c r="D30" s="131"/>
      <c r="E30" s="169">
        <f>+E28*E21</f>
        <v>16800</v>
      </c>
    </row>
    <row r="31" spans="2:12" ht="12.75" thickTop="1"/>
    <row r="32" spans="2:12">
      <c r="B32" s="53" t="s">
        <v>114</v>
      </c>
      <c r="C32" s="9" t="s">
        <v>115</v>
      </c>
      <c r="E32" s="7"/>
    </row>
    <row r="33" spans="2:8">
      <c r="B33" s="53"/>
      <c r="C33" s="6"/>
      <c r="E33" s="7"/>
    </row>
    <row r="34" spans="2:8">
      <c r="B34" s="53"/>
      <c r="C34" s="6" t="s">
        <v>383</v>
      </c>
      <c r="E34" s="7">
        <f>100-E26-15</f>
        <v>15</v>
      </c>
    </row>
    <row r="35" spans="2:8">
      <c r="B35" s="53"/>
      <c r="C35" s="6"/>
      <c r="E35" s="7" t="s">
        <v>128</v>
      </c>
    </row>
    <row r="36" spans="2:8">
      <c r="B36" s="53"/>
      <c r="C36" s="6" t="s">
        <v>129</v>
      </c>
      <c r="E36" s="7">
        <f>+E34*E22*0.01</f>
        <v>9</v>
      </c>
    </row>
    <row r="37" spans="2:8">
      <c r="B37" s="53"/>
      <c r="E37" s="10" t="s">
        <v>130</v>
      </c>
    </row>
    <row r="38" spans="2:8">
      <c r="B38" s="53"/>
      <c r="C38" s="9" t="s">
        <v>131</v>
      </c>
      <c r="E38" s="7">
        <v>200</v>
      </c>
    </row>
    <row r="39" spans="2:8" ht="12.75" thickBot="1">
      <c r="B39" s="53"/>
      <c r="C39" s="9"/>
      <c r="E39" s="7"/>
    </row>
    <row r="40" spans="2:8" ht="12.75" thickTop="1">
      <c r="B40" s="53"/>
      <c r="C40" s="55"/>
      <c r="D40" s="130"/>
      <c r="E40" s="56" t="s">
        <v>44</v>
      </c>
    </row>
    <row r="41" spans="2:8" ht="12.75" thickBot="1">
      <c r="C41" s="57" t="s">
        <v>385</v>
      </c>
      <c r="D41" s="131"/>
      <c r="E41" s="169">
        <f>+E38*E36</f>
        <v>1800</v>
      </c>
    </row>
    <row r="42" spans="2:8" ht="12.75" thickTop="1">
      <c r="C42" s="47"/>
      <c r="D42" s="29"/>
      <c r="E42" s="30"/>
    </row>
    <row r="43" spans="2:8">
      <c r="C43" s="47"/>
      <c r="D43" s="29"/>
      <c r="E43" s="30" t="s">
        <v>135</v>
      </c>
    </row>
    <row r="44" spans="2:8">
      <c r="B44" s="53" t="s">
        <v>132</v>
      </c>
      <c r="C44" s="6" t="s">
        <v>133</v>
      </c>
      <c r="E44" s="7">
        <v>300</v>
      </c>
    </row>
    <row r="45" spans="2:8">
      <c r="C45" s="6" t="s">
        <v>134</v>
      </c>
      <c r="E45" s="7"/>
      <c r="H45" s="6"/>
    </row>
    <row r="46" spans="2:8" ht="12.75" thickBot="1">
      <c r="C46" s="6" t="s">
        <v>129</v>
      </c>
      <c r="E46" s="7">
        <v>25</v>
      </c>
      <c r="H46" s="6"/>
    </row>
    <row r="47" spans="2:8" ht="12.75" thickTop="1">
      <c r="C47" s="55"/>
      <c r="D47" s="130"/>
      <c r="E47" s="56" t="s">
        <v>44</v>
      </c>
      <c r="H47" s="6"/>
    </row>
    <row r="48" spans="2:8" ht="12.75" thickBot="1">
      <c r="C48" s="57" t="s">
        <v>386</v>
      </c>
      <c r="D48" s="131"/>
      <c r="E48" s="169">
        <f>+E46*E44</f>
        <v>7500</v>
      </c>
      <c r="H48" s="6"/>
    </row>
    <row r="49" spans="2:8" ht="12.75" thickTop="1">
      <c r="C49" s="6"/>
      <c r="E49" s="7"/>
      <c r="H49" s="6"/>
    </row>
    <row r="50" spans="2:8" ht="12.75" thickBot="1">
      <c r="C50" s="6"/>
      <c r="E50" s="10" t="s">
        <v>44</v>
      </c>
      <c r="H50" s="6"/>
    </row>
    <row r="51" spans="2:8" ht="13.5" thickTop="1" thickBot="1">
      <c r="C51" s="52" t="s">
        <v>387</v>
      </c>
      <c r="D51" s="128"/>
      <c r="E51" s="76">
        <f>+E48+E41+E30</f>
        <v>26100</v>
      </c>
    </row>
    <row r="52" spans="2:8" ht="12.75" thickTop="1"/>
    <row r="53" spans="2:8">
      <c r="B53" s="54">
        <v>4</v>
      </c>
      <c r="C53" s="9" t="s">
        <v>347</v>
      </c>
      <c r="D53" s="29"/>
      <c r="E53" s="30"/>
      <c r="F53" s="6"/>
    </row>
    <row r="54" spans="2:8">
      <c r="B54" s="58"/>
      <c r="C54" s="47" t="s">
        <v>137</v>
      </c>
      <c r="D54" s="29"/>
      <c r="E54" s="30" t="s">
        <v>348</v>
      </c>
      <c r="F54" s="6"/>
    </row>
    <row r="55" spans="2:8">
      <c r="B55" s="58"/>
      <c r="C55" s="47" t="s">
        <v>138</v>
      </c>
      <c r="D55" s="29"/>
      <c r="E55" s="48">
        <v>1155</v>
      </c>
      <c r="F55" s="6"/>
    </row>
    <row r="56" spans="2:8">
      <c r="B56" s="58"/>
      <c r="C56" s="47" t="s">
        <v>139</v>
      </c>
      <c r="D56" s="29"/>
      <c r="E56" s="30"/>
      <c r="F56" s="6"/>
    </row>
    <row r="57" spans="2:8">
      <c r="B57" s="58"/>
      <c r="C57" s="47"/>
      <c r="D57" s="29"/>
      <c r="E57" s="30" t="s">
        <v>348</v>
      </c>
      <c r="F57" s="6"/>
    </row>
    <row r="58" spans="2:8">
      <c r="B58" s="58"/>
      <c r="C58" s="47" t="s">
        <v>349</v>
      </c>
      <c r="D58" s="29"/>
      <c r="E58" s="30">
        <v>70</v>
      </c>
      <c r="F58" s="6"/>
    </row>
    <row r="59" spans="2:8" ht="12.75" thickBot="1">
      <c r="B59" s="58"/>
      <c r="C59" s="47"/>
      <c r="D59" s="29"/>
      <c r="E59" s="30" t="s">
        <v>158</v>
      </c>
      <c r="F59" s="6"/>
    </row>
    <row r="60" spans="2:8" ht="13.5" thickTop="1" thickBot="1">
      <c r="B60" s="58"/>
      <c r="C60" s="168" t="s">
        <v>388</v>
      </c>
      <c r="D60" s="128"/>
      <c r="E60" s="76">
        <f>+E55*E22+E58*E23</f>
        <v>70980</v>
      </c>
      <c r="F60" s="6"/>
    </row>
    <row r="61" spans="2:8" ht="12.75" thickTop="1">
      <c r="B61" s="58"/>
      <c r="C61" s="47"/>
      <c r="D61" s="29"/>
      <c r="E61" s="30"/>
      <c r="F61" s="6"/>
    </row>
    <row r="62" spans="2:8">
      <c r="E62" s="10" t="s">
        <v>141</v>
      </c>
    </row>
    <row r="63" spans="2:8">
      <c r="B63" s="54">
        <v>5</v>
      </c>
      <c r="C63" s="9" t="s">
        <v>116</v>
      </c>
      <c r="D63" s="7" t="s">
        <v>143</v>
      </c>
      <c r="E63" s="7" t="s">
        <v>140</v>
      </c>
    </row>
    <row r="64" spans="2:8">
      <c r="B64" s="6"/>
      <c r="C64" s="6" t="s">
        <v>126</v>
      </c>
      <c r="D64" s="23">
        <f>+E23</f>
        <v>24</v>
      </c>
      <c r="E64" s="7">
        <v>50</v>
      </c>
    </row>
    <row r="65" spans="2:8">
      <c r="B65" s="6"/>
      <c r="C65" s="6" t="s">
        <v>127</v>
      </c>
      <c r="D65" s="23">
        <f>+E24</f>
        <v>36</v>
      </c>
      <c r="E65" s="7">
        <v>30</v>
      </c>
    </row>
    <row r="66" spans="2:8" ht="12.75" thickBot="1">
      <c r="B66" s="6"/>
      <c r="C66" s="6"/>
      <c r="E66" s="10" t="s">
        <v>44</v>
      </c>
    </row>
    <row r="67" spans="2:8" ht="13.5" thickTop="1" thickBot="1">
      <c r="B67" s="6"/>
      <c r="C67" s="52" t="s">
        <v>142</v>
      </c>
      <c r="D67" s="128"/>
      <c r="E67" s="75">
        <f>+D64*E64+E65*D65</f>
        <v>2280</v>
      </c>
    </row>
    <row r="68" spans="2:8" ht="12.75" thickTop="1"/>
    <row r="69" spans="2:8">
      <c r="B69" s="54">
        <v>6</v>
      </c>
      <c r="C69" s="9" t="s">
        <v>117</v>
      </c>
      <c r="D69" s="6"/>
      <c r="E69" s="7" t="s">
        <v>14</v>
      </c>
    </row>
    <row r="70" spans="2:8">
      <c r="B70" s="54"/>
      <c r="C70" s="6" t="s">
        <v>147</v>
      </c>
      <c r="D70" s="6"/>
      <c r="E70" s="7">
        <v>15</v>
      </c>
    </row>
    <row r="71" spans="2:8">
      <c r="B71" s="54"/>
      <c r="C71" s="6" t="s">
        <v>146</v>
      </c>
      <c r="D71" s="6"/>
      <c r="E71" s="7">
        <v>15</v>
      </c>
    </row>
    <row r="72" spans="2:8">
      <c r="B72" s="54"/>
      <c r="C72" s="6"/>
      <c r="D72" s="6"/>
      <c r="E72" s="7" t="s">
        <v>9</v>
      </c>
    </row>
    <row r="73" spans="2:8">
      <c r="B73" s="54"/>
      <c r="C73" s="6" t="s">
        <v>148</v>
      </c>
      <c r="D73" s="6"/>
      <c r="E73" s="7">
        <f>+'Pagos iniciales'!F17</f>
        <v>26000</v>
      </c>
    </row>
    <row r="74" spans="2:8">
      <c r="B74" s="54"/>
      <c r="D74" s="6"/>
      <c r="E74" s="7" t="s">
        <v>149</v>
      </c>
    </row>
    <row r="75" spans="2:8">
      <c r="B75" s="54"/>
      <c r="C75" s="6" t="s">
        <v>150</v>
      </c>
      <c r="D75" s="6"/>
      <c r="E75" s="7">
        <f>+E73/E70</f>
        <v>1733.3333333333333</v>
      </c>
      <c r="G75" s="3" t="s">
        <v>151</v>
      </c>
    </row>
    <row r="76" spans="2:8">
      <c r="B76" s="54"/>
      <c r="C76" s="6"/>
      <c r="D76" s="6"/>
      <c r="E76" s="7" t="s">
        <v>9</v>
      </c>
      <c r="G76" s="6" t="s">
        <v>152</v>
      </c>
    </row>
    <row r="77" spans="2:8">
      <c r="B77" s="54"/>
      <c r="C77" s="6" t="s">
        <v>153</v>
      </c>
      <c r="D77" s="6"/>
      <c r="E77" s="7">
        <f>+'Pagos iniciales'!F16</f>
        <v>10000</v>
      </c>
      <c r="G77" s="6"/>
    </row>
    <row r="78" spans="2:8">
      <c r="B78" s="54"/>
      <c r="D78" s="6"/>
      <c r="E78" s="7" t="s">
        <v>149</v>
      </c>
      <c r="G78" s="25" t="s">
        <v>7</v>
      </c>
    </row>
    <row r="79" spans="2:8">
      <c r="B79" s="54"/>
      <c r="C79" s="6" t="s">
        <v>154</v>
      </c>
      <c r="D79" s="6"/>
      <c r="E79" s="7">
        <f>+E77/E71</f>
        <v>666.66666666666663</v>
      </c>
      <c r="G79" s="7">
        <f>+E75*E24</f>
        <v>62400</v>
      </c>
      <c r="H79" s="3" t="s">
        <v>389</v>
      </c>
    </row>
    <row r="80" spans="2:8" ht="12.75" thickBot="1">
      <c r="B80" s="54"/>
      <c r="D80" s="6"/>
      <c r="E80" s="7" t="s">
        <v>158</v>
      </c>
      <c r="G80" s="7">
        <f>+E79*E23</f>
        <v>16000</v>
      </c>
      <c r="H80" s="6" t="s">
        <v>390</v>
      </c>
    </row>
    <row r="81" spans="2:10" ht="13.5" thickTop="1" thickBot="1">
      <c r="B81" s="54"/>
      <c r="C81" s="52" t="s">
        <v>225</v>
      </c>
      <c r="D81" s="128"/>
      <c r="E81" s="75">
        <f>+E75*'Pagos iniciales'!F9+'Pagos iniciales'!F8*Gastos!E79</f>
        <v>78400</v>
      </c>
      <c r="G81" s="6"/>
    </row>
    <row r="82" spans="2:10" ht="12.75" thickTop="1">
      <c r="B82" s="54"/>
      <c r="C82" s="9"/>
      <c r="D82" s="6"/>
    </row>
    <row r="83" spans="2:10">
      <c r="B83" s="54">
        <v>7</v>
      </c>
      <c r="C83" s="9" t="s">
        <v>155</v>
      </c>
    </row>
    <row r="84" spans="2:10">
      <c r="B84" s="54"/>
      <c r="C84" s="9"/>
      <c r="D84" s="7" t="s">
        <v>14</v>
      </c>
    </row>
    <row r="85" spans="2:10">
      <c r="B85" s="54"/>
      <c r="C85" s="6" t="s">
        <v>156</v>
      </c>
      <c r="D85" s="7">
        <v>50</v>
      </c>
    </row>
    <row r="86" spans="2:10">
      <c r="B86" s="54"/>
      <c r="D86" s="23" t="s">
        <v>7</v>
      </c>
    </row>
    <row r="87" spans="2:10">
      <c r="B87" s="54"/>
      <c r="C87" s="9" t="s">
        <v>157</v>
      </c>
      <c r="D87" s="7">
        <f>+'Pagos iniciales'!E40</f>
        <v>500000</v>
      </c>
    </row>
    <row r="88" spans="2:10">
      <c r="B88" s="54"/>
      <c r="C88" s="9"/>
    </row>
    <row r="89" spans="2:10" ht="12.75" thickBot="1">
      <c r="B89" s="54"/>
      <c r="C89" s="9"/>
      <c r="D89" s="7" t="s">
        <v>158</v>
      </c>
    </row>
    <row r="90" spans="2:10" ht="12.75" thickTop="1">
      <c r="B90" s="54"/>
      <c r="C90" s="171" t="s">
        <v>159</v>
      </c>
      <c r="D90" s="172"/>
      <c r="E90" s="2"/>
    </row>
    <row r="91" spans="2:10" ht="12.75" thickBot="1">
      <c r="C91" s="170" t="s">
        <v>160</v>
      </c>
      <c r="D91" s="173">
        <f>+D87/D85</f>
        <v>10000</v>
      </c>
    </row>
    <row r="92" spans="2:10" ht="12.75" thickTop="1">
      <c r="C92" s="9"/>
    </row>
    <row r="93" spans="2:10">
      <c r="B93" s="54">
        <v>8</v>
      </c>
      <c r="C93" s="9" t="s">
        <v>118</v>
      </c>
    </row>
    <row r="94" spans="2:10">
      <c r="B94" s="6"/>
      <c r="C94" s="8" t="s">
        <v>161</v>
      </c>
    </row>
    <row r="95" spans="2:10">
      <c r="E95" s="7"/>
    </row>
    <row r="96" spans="2:10">
      <c r="B96" s="54">
        <v>9</v>
      </c>
      <c r="C96" s="59" t="s">
        <v>119</v>
      </c>
      <c r="D96" s="29"/>
      <c r="E96" s="47"/>
      <c r="J96" s="1" t="s">
        <v>709</v>
      </c>
    </row>
    <row r="97" spans="2:10">
      <c r="B97" s="54"/>
      <c r="C97" s="47"/>
      <c r="D97" s="30" t="s">
        <v>44</v>
      </c>
      <c r="E97" s="47"/>
    </row>
    <row r="98" spans="2:10">
      <c r="B98" s="54"/>
      <c r="C98" s="30" t="s">
        <v>162</v>
      </c>
      <c r="D98" s="30">
        <v>300</v>
      </c>
      <c r="E98" s="47"/>
    </row>
    <row r="99" spans="2:10">
      <c r="B99" s="54"/>
      <c r="C99" s="30" t="s">
        <v>163</v>
      </c>
      <c r="D99" s="30">
        <v>300</v>
      </c>
      <c r="E99" s="47"/>
    </row>
    <row r="100" spans="2:10">
      <c r="B100" s="54"/>
      <c r="C100" s="30" t="s">
        <v>164</v>
      </c>
      <c r="D100" s="30">
        <v>300</v>
      </c>
      <c r="E100" s="47"/>
    </row>
    <row r="101" spans="2:10">
      <c r="B101" s="54"/>
      <c r="C101" s="30" t="s">
        <v>251</v>
      </c>
      <c r="D101" s="30">
        <v>1000</v>
      </c>
      <c r="E101" s="47"/>
    </row>
    <row r="102" spans="2:10" ht="12.75" thickBot="1">
      <c r="B102" s="54"/>
      <c r="C102" s="30"/>
      <c r="D102" s="28" t="s">
        <v>44</v>
      </c>
      <c r="E102" s="47"/>
    </row>
    <row r="103" spans="2:10" ht="13.5" thickTop="1" thickBot="1">
      <c r="B103" s="54"/>
      <c r="C103" s="52" t="s">
        <v>165</v>
      </c>
      <c r="D103" s="74">
        <f>+SUM(D98:D101)</f>
        <v>1900</v>
      </c>
      <c r="E103" s="47"/>
    </row>
    <row r="104" spans="2:10" ht="12.75" thickTop="1">
      <c r="B104" s="54"/>
      <c r="C104" s="47"/>
      <c r="D104" s="63"/>
      <c r="E104" s="47"/>
    </row>
    <row r="105" spans="2:10" ht="12.75" thickBot="1">
      <c r="E105" s="7" t="s">
        <v>44</v>
      </c>
    </row>
    <row r="106" spans="2:10" ht="13.5" thickTop="1" thickBot="1">
      <c r="B106" s="54">
        <v>10</v>
      </c>
      <c r="C106" s="52" t="s">
        <v>166</v>
      </c>
      <c r="D106" s="128"/>
      <c r="E106" s="75">
        <v>100</v>
      </c>
      <c r="J106" s="6"/>
    </row>
    <row r="107" spans="2:10" ht="12.75" thickTop="1"/>
    <row r="109" spans="2:10">
      <c r="C109" s="6" t="s">
        <v>144</v>
      </c>
    </row>
    <row r="110" spans="2:10">
      <c r="C110" s="6" t="s">
        <v>145</v>
      </c>
    </row>
    <row r="111" spans="2:10">
      <c r="C111" s="6" t="s">
        <v>167</v>
      </c>
    </row>
    <row r="112" spans="2:10" ht="12.75" thickBot="1">
      <c r="C112" s="6" t="s">
        <v>168</v>
      </c>
    </row>
    <row r="113" spans="3:4">
      <c r="C113" s="49"/>
      <c r="D113" s="36" t="s">
        <v>44</v>
      </c>
    </row>
    <row r="114" spans="3:4" ht="12.75" thickBot="1">
      <c r="C114" s="132" t="s">
        <v>169</v>
      </c>
      <c r="D114" s="38">
        <f>+E106+D103+E67+E51+E17+E10</f>
        <v>45080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81"/>
  <sheetViews>
    <sheetView topLeftCell="A43" workbookViewId="0">
      <selection activeCell="I28" sqref="I28"/>
    </sheetView>
  </sheetViews>
  <sheetFormatPr baseColWidth="10" defaultRowHeight="12"/>
  <cols>
    <col min="1" max="1" width="3.140625" style="23" customWidth="1"/>
    <col min="2" max="2" width="19.85546875" style="23" customWidth="1"/>
    <col min="3" max="3" width="10.28515625" style="23" customWidth="1"/>
    <col min="4" max="4" width="22" style="23" customWidth="1"/>
    <col min="5" max="5" width="10.5703125" style="23" customWidth="1"/>
    <col min="6" max="6" width="10.7109375" style="2" customWidth="1"/>
    <col min="7" max="8" width="10.7109375" style="23" customWidth="1"/>
    <col min="9" max="16384" width="11.42578125" style="23"/>
  </cols>
  <sheetData>
    <row r="3" spans="2:6">
      <c r="B3" s="5" t="s">
        <v>171</v>
      </c>
    </row>
    <row r="5" spans="2:6">
      <c r="B5" s="4" t="s">
        <v>172</v>
      </c>
      <c r="E5" s="23" t="s">
        <v>174</v>
      </c>
    </row>
    <row r="6" spans="2:6">
      <c r="B6" s="3" t="s">
        <v>173</v>
      </c>
      <c r="E6" s="23">
        <v>70</v>
      </c>
    </row>
    <row r="7" spans="2:6">
      <c r="E7" s="23" t="s">
        <v>174</v>
      </c>
    </row>
    <row r="8" spans="2:6">
      <c r="B8" s="3" t="s">
        <v>183</v>
      </c>
      <c r="E8" s="195">
        <v>75</v>
      </c>
      <c r="F8" s="3" t="s">
        <v>430</v>
      </c>
    </row>
    <row r="9" spans="2:6">
      <c r="B9" s="3"/>
      <c r="F9" s="3" t="s">
        <v>175</v>
      </c>
    </row>
    <row r="10" spans="2:6">
      <c r="B10" s="3"/>
      <c r="E10" s="7" t="s">
        <v>185</v>
      </c>
      <c r="F10" s="3"/>
    </row>
    <row r="11" spans="2:6">
      <c r="B11" s="3" t="s">
        <v>197</v>
      </c>
      <c r="E11" s="40">
        <f>+'Pagos iniciales'!F7</f>
        <v>60</v>
      </c>
      <c r="F11" s="3"/>
    </row>
    <row r="12" spans="2:6">
      <c r="B12" s="3"/>
      <c r="E12" s="7" t="s">
        <v>185</v>
      </c>
      <c r="F12" s="23"/>
    </row>
    <row r="13" spans="2:6">
      <c r="B13" s="3" t="s">
        <v>184</v>
      </c>
      <c r="E13" s="12">
        <f>+E11*E8*0.01</f>
        <v>45</v>
      </c>
      <c r="F13" s="3" t="s">
        <v>186</v>
      </c>
    </row>
    <row r="14" spans="2:6">
      <c r="F14" s="3" t="s">
        <v>444</v>
      </c>
    </row>
    <row r="15" spans="2:6">
      <c r="D15" s="23" t="s">
        <v>174</v>
      </c>
      <c r="F15" s="3"/>
    </row>
    <row r="16" spans="2:6">
      <c r="B16" s="3" t="s">
        <v>201</v>
      </c>
      <c r="D16" s="7">
        <v>40</v>
      </c>
      <c r="F16" s="3"/>
    </row>
    <row r="17" spans="2:6">
      <c r="B17" s="3" t="s">
        <v>202</v>
      </c>
      <c r="D17" s="7">
        <f>100-D16</f>
        <v>60</v>
      </c>
      <c r="F17" s="3"/>
    </row>
    <row r="18" spans="2:6">
      <c r="B18" s="3"/>
      <c r="D18" s="7"/>
      <c r="F18" s="3"/>
    </row>
    <row r="19" spans="2:6">
      <c r="B19" s="139"/>
      <c r="C19" s="93"/>
      <c r="D19" s="94"/>
      <c r="E19" s="186" t="s">
        <v>179</v>
      </c>
      <c r="F19" s="3"/>
    </row>
    <row r="20" spans="2:6">
      <c r="B20" s="95" t="s">
        <v>203</v>
      </c>
      <c r="C20" s="63"/>
      <c r="D20" s="30"/>
      <c r="E20" s="187">
        <f>+ROUNDUP(D16*E13*0.01,0)</f>
        <v>18</v>
      </c>
      <c r="F20" s="3"/>
    </row>
    <row r="21" spans="2:6">
      <c r="B21" s="188" t="s">
        <v>204</v>
      </c>
      <c r="C21" s="100"/>
      <c r="D21" s="147"/>
      <c r="E21" s="189">
        <f>+E13-E20</f>
        <v>27</v>
      </c>
      <c r="F21" s="3"/>
    </row>
    <row r="22" spans="2:6">
      <c r="F22" s="3"/>
    </row>
    <row r="23" spans="2:6">
      <c r="E23" s="23" t="s">
        <v>174</v>
      </c>
      <c r="F23" s="3"/>
    </row>
    <row r="24" spans="2:6">
      <c r="B24" s="3" t="s">
        <v>187</v>
      </c>
      <c r="E24" s="195">
        <v>8</v>
      </c>
      <c r="F24" s="3"/>
    </row>
    <row r="25" spans="2:6">
      <c r="B25" s="3"/>
      <c r="E25" s="7" t="s">
        <v>179</v>
      </c>
      <c r="F25" s="3"/>
    </row>
    <row r="26" spans="2:6">
      <c r="B26" s="3" t="s">
        <v>198</v>
      </c>
      <c r="E26" s="91">
        <f>+ROUNDUP(E24*E11*0.01,0)</f>
        <v>5</v>
      </c>
      <c r="F26" s="3"/>
    </row>
    <row r="27" spans="2:6">
      <c r="B27" s="3"/>
      <c r="E27" s="25"/>
      <c r="F27" s="3"/>
    </row>
    <row r="28" spans="2:6">
      <c r="B28" s="139"/>
      <c r="C28" s="93"/>
      <c r="D28" s="94"/>
      <c r="E28" s="186" t="s">
        <v>179</v>
      </c>
      <c r="F28" s="3"/>
    </row>
    <row r="29" spans="2:6">
      <c r="B29" s="95" t="s">
        <v>290</v>
      </c>
      <c r="C29" s="63"/>
      <c r="D29" s="30"/>
      <c r="E29" s="187">
        <f>+ROUNDUP(E26*D16*0.01,0)</f>
        <v>2</v>
      </c>
      <c r="F29" s="3"/>
    </row>
    <row r="30" spans="2:6">
      <c r="B30" s="188" t="s">
        <v>205</v>
      </c>
      <c r="C30" s="100"/>
      <c r="D30" s="147"/>
      <c r="E30" s="189">
        <f>+E26-E29</f>
        <v>3</v>
      </c>
      <c r="F30" s="3"/>
    </row>
    <row r="31" spans="2:6">
      <c r="B31" s="3"/>
      <c r="E31" s="25"/>
      <c r="F31" s="3"/>
    </row>
    <row r="32" spans="2:6">
      <c r="B32" s="3"/>
      <c r="E32" s="7" t="s">
        <v>23</v>
      </c>
      <c r="F32" s="3"/>
    </row>
    <row r="33" spans="2:6">
      <c r="B33" s="3" t="s">
        <v>188</v>
      </c>
      <c r="E33" s="7">
        <v>5</v>
      </c>
      <c r="F33" s="3"/>
    </row>
    <row r="34" spans="2:6">
      <c r="B34" s="3"/>
      <c r="E34" s="7" t="s">
        <v>191</v>
      </c>
      <c r="F34" s="3"/>
    </row>
    <row r="35" spans="2:6">
      <c r="B35" s="3" t="s">
        <v>192</v>
      </c>
      <c r="E35" s="7">
        <v>1</v>
      </c>
      <c r="F35" s="3"/>
    </row>
    <row r="36" spans="2:6">
      <c r="B36" s="3"/>
      <c r="E36" s="7"/>
      <c r="F36" s="3"/>
    </row>
    <row r="37" spans="2:6">
      <c r="B37" s="139"/>
      <c r="C37" s="93"/>
      <c r="D37" s="186" t="s">
        <v>185</v>
      </c>
      <c r="E37" s="7"/>
      <c r="F37" s="3"/>
    </row>
    <row r="38" spans="2:6">
      <c r="B38" s="190" t="s">
        <v>199</v>
      </c>
      <c r="C38" s="63"/>
      <c r="D38" s="187">
        <f>+ROUNDUP(E20+E21+E29+E30,0)</f>
        <v>50</v>
      </c>
      <c r="E38" s="7"/>
      <c r="F38" s="3"/>
    </row>
    <row r="39" spans="2:6">
      <c r="B39" s="191" t="s">
        <v>200</v>
      </c>
      <c r="C39" s="100"/>
      <c r="D39" s="189">
        <f>+ROUNDUP(E11-D38,0)</f>
        <v>10</v>
      </c>
      <c r="E39" s="7"/>
      <c r="F39" s="3"/>
    </row>
    <row r="40" spans="2:6">
      <c r="F40" s="3"/>
    </row>
    <row r="41" spans="2:6">
      <c r="D41" s="10" t="s">
        <v>179</v>
      </c>
    </row>
    <row r="42" spans="2:6">
      <c r="B42" s="4" t="s">
        <v>176</v>
      </c>
      <c r="D42" s="12">
        <f>+D43+D44</f>
        <v>60</v>
      </c>
    </row>
    <row r="43" spans="2:6">
      <c r="B43" s="3" t="s">
        <v>177</v>
      </c>
      <c r="D43" s="40">
        <f>+'Pagos iniciales'!F9</f>
        <v>36</v>
      </c>
    </row>
    <row r="44" spans="2:6">
      <c r="B44" s="3" t="s">
        <v>178</v>
      </c>
      <c r="D44" s="40">
        <f>+'Pagos iniciales'!F8</f>
        <v>24</v>
      </c>
    </row>
    <row r="46" spans="2:6">
      <c r="B46" s="4" t="s">
        <v>189</v>
      </c>
      <c r="D46" s="7" t="s">
        <v>181</v>
      </c>
    </row>
    <row r="47" spans="2:6">
      <c r="B47" s="3" t="s">
        <v>180</v>
      </c>
      <c r="D47" s="23">
        <v>50</v>
      </c>
      <c r="E47" s="3" t="s">
        <v>193</v>
      </c>
    </row>
    <row r="48" spans="2:6">
      <c r="B48" s="3" t="s">
        <v>182</v>
      </c>
      <c r="D48" s="7">
        <v>45</v>
      </c>
      <c r="E48" s="3" t="s">
        <v>194</v>
      </c>
    </row>
    <row r="50" spans="1:11">
      <c r="B50" s="4" t="s">
        <v>190</v>
      </c>
      <c r="D50" s="7" t="s">
        <v>26</v>
      </c>
    </row>
    <row r="51" spans="1:11">
      <c r="B51" s="3" t="s">
        <v>180</v>
      </c>
      <c r="D51" s="23">
        <v>13</v>
      </c>
      <c r="E51" s="3" t="s">
        <v>195</v>
      </c>
    </row>
    <row r="52" spans="1:11">
      <c r="B52" s="3" t="s">
        <v>182</v>
      </c>
      <c r="D52" s="7">
        <v>10</v>
      </c>
      <c r="E52" s="3" t="s">
        <v>196</v>
      </c>
    </row>
    <row r="53" spans="1:11">
      <c r="E53" s="2"/>
    </row>
    <row r="55" spans="1:11">
      <c r="B55" s="4" t="s">
        <v>263</v>
      </c>
    </row>
    <row r="56" spans="1:11">
      <c r="B56" s="4"/>
    </row>
    <row r="57" spans="1:11">
      <c r="B57" s="4" t="s">
        <v>432</v>
      </c>
      <c r="D57" s="7"/>
    </row>
    <row r="58" spans="1:11">
      <c r="B58" s="4"/>
      <c r="D58" s="7"/>
      <c r="K58" s="7" t="s">
        <v>278</v>
      </c>
    </row>
    <row r="59" spans="1:11">
      <c r="B59" s="4"/>
      <c r="D59" s="7" t="s">
        <v>174</v>
      </c>
      <c r="J59" s="7" t="s">
        <v>266</v>
      </c>
      <c r="K59" s="23">
        <v>31</v>
      </c>
    </row>
    <row r="60" spans="1:11">
      <c r="B60" s="3" t="s">
        <v>264</v>
      </c>
      <c r="D60" s="7">
        <v>90</v>
      </c>
      <c r="J60" s="7" t="s">
        <v>267</v>
      </c>
      <c r="K60" s="23">
        <v>28</v>
      </c>
    </row>
    <row r="61" spans="1:11">
      <c r="B61" s="32" t="s">
        <v>265</v>
      </c>
      <c r="C61" s="63"/>
      <c r="D61" s="30">
        <f>100-D60</f>
        <v>10</v>
      </c>
      <c r="E61" s="63"/>
      <c r="F61" s="86"/>
      <c r="G61" s="63"/>
      <c r="H61" s="63"/>
      <c r="J61" s="7" t="s">
        <v>268</v>
      </c>
      <c r="K61" s="23">
        <v>31</v>
      </c>
    </row>
    <row r="62" spans="1:11">
      <c r="A62" s="63"/>
      <c r="B62" s="105"/>
      <c r="C62" s="106"/>
      <c r="D62" s="48"/>
      <c r="E62" s="106"/>
      <c r="F62" s="107"/>
      <c r="G62" s="106"/>
      <c r="H62" s="106"/>
      <c r="J62" s="7" t="s">
        <v>269</v>
      </c>
      <c r="K62" s="23">
        <v>30</v>
      </c>
    </row>
    <row r="63" spans="1:11">
      <c r="A63" s="63"/>
      <c r="B63" s="116"/>
      <c r="C63" s="117"/>
      <c r="D63" s="118"/>
      <c r="E63" s="119" t="s">
        <v>208</v>
      </c>
      <c r="F63" s="273" t="s">
        <v>429</v>
      </c>
      <c r="G63" s="273"/>
      <c r="H63" s="274"/>
      <c r="J63" s="7" t="s">
        <v>270</v>
      </c>
      <c r="K63" s="23">
        <v>31</v>
      </c>
    </row>
    <row r="64" spans="1:11">
      <c r="A64" s="63"/>
      <c r="B64" s="120"/>
      <c r="C64" s="106"/>
      <c r="D64" s="121" t="s">
        <v>207</v>
      </c>
      <c r="E64" s="48" t="s">
        <v>181</v>
      </c>
      <c r="F64" s="48" t="s">
        <v>181</v>
      </c>
      <c r="G64" s="48" t="s">
        <v>44</v>
      </c>
      <c r="H64" s="122" t="s">
        <v>158</v>
      </c>
      <c r="J64" s="7" t="s">
        <v>271</v>
      </c>
      <c r="K64" s="23">
        <v>30</v>
      </c>
    </row>
    <row r="65" spans="1:11">
      <c r="A65" s="63"/>
      <c r="B65" s="123" t="s">
        <v>206</v>
      </c>
      <c r="C65" s="106"/>
      <c r="D65" s="108">
        <f>+E20</f>
        <v>18</v>
      </c>
      <c r="E65" s="106">
        <f>+D48</f>
        <v>45</v>
      </c>
      <c r="F65" s="106">
        <f>+D65*E65*D$60*0.01</f>
        <v>729</v>
      </c>
      <c r="G65" s="106">
        <f>+F65*K$76</f>
        <v>22173.75</v>
      </c>
      <c r="H65" s="122">
        <f>+F65*K$73</f>
        <v>266085</v>
      </c>
      <c r="J65" s="7" t="s">
        <v>272</v>
      </c>
      <c r="K65" s="23">
        <v>31</v>
      </c>
    </row>
    <row r="66" spans="1:11">
      <c r="A66" s="63"/>
      <c r="B66" s="123" t="s">
        <v>209</v>
      </c>
      <c r="C66" s="106"/>
      <c r="D66" s="108">
        <f>+E21</f>
        <v>27</v>
      </c>
      <c r="E66" s="106">
        <f>+D47</f>
        <v>50</v>
      </c>
      <c r="F66" s="106">
        <f>+D66*E66*D$60*0.01</f>
        <v>1215</v>
      </c>
      <c r="G66" s="106">
        <f>+F66*K$76</f>
        <v>36956.25</v>
      </c>
      <c r="H66" s="122">
        <f>+F66*K$73</f>
        <v>443475</v>
      </c>
      <c r="J66" s="7" t="s">
        <v>273</v>
      </c>
      <c r="K66" s="23">
        <v>31</v>
      </c>
    </row>
    <row r="67" spans="1:11">
      <c r="A67" s="63"/>
      <c r="B67" s="124"/>
      <c r="C67" s="125"/>
      <c r="D67" s="125"/>
      <c r="E67" s="125"/>
      <c r="F67" s="126">
        <f>+SUM(F65:F66)</f>
        <v>1944</v>
      </c>
      <c r="G67" s="126">
        <f t="shared" ref="G67:H67" si="0">+SUM(G65:G66)</f>
        <v>59130</v>
      </c>
      <c r="H67" s="127">
        <f t="shared" si="0"/>
        <v>709560</v>
      </c>
      <c r="J67" s="7" t="s">
        <v>274</v>
      </c>
      <c r="K67" s="23">
        <v>30</v>
      </c>
    </row>
    <row r="68" spans="1:11">
      <c r="A68" s="63"/>
      <c r="B68" s="106"/>
      <c r="C68" s="106"/>
      <c r="D68" s="108"/>
      <c r="E68" s="106"/>
      <c r="F68" s="107"/>
      <c r="G68" s="106"/>
      <c r="H68" s="106"/>
      <c r="I68" s="63"/>
      <c r="J68" s="7" t="s">
        <v>275</v>
      </c>
      <c r="K68" s="23">
        <v>31</v>
      </c>
    </row>
    <row r="69" spans="1:11">
      <c r="B69" s="110" t="s">
        <v>431</v>
      </c>
      <c r="C69" s="100"/>
      <c r="D69" s="101"/>
      <c r="E69" s="100"/>
      <c r="H69" s="63"/>
      <c r="J69" s="7" t="s">
        <v>276</v>
      </c>
      <c r="K69" s="23">
        <v>30</v>
      </c>
    </row>
    <row r="70" spans="1:11">
      <c r="A70" s="104"/>
      <c r="B70" s="116"/>
      <c r="C70" s="117"/>
      <c r="D70" s="118"/>
      <c r="E70" s="119" t="s">
        <v>208</v>
      </c>
      <c r="F70" s="273" t="s">
        <v>429</v>
      </c>
      <c r="G70" s="273"/>
      <c r="H70" s="274"/>
      <c r="J70" s="7" t="s">
        <v>277</v>
      </c>
      <c r="K70" s="23">
        <v>31</v>
      </c>
    </row>
    <row r="71" spans="1:11">
      <c r="A71" s="104"/>
      <c r="B71" s="120"/>
      <c r="C71" s="106"/>
      <c r="D71" s="121" t="s">
        <v>207</v>
      </c>
      <c r="E71" s="48" t="s">
        <v>26</v>
      </c>
      <c r="F71" s="48" t="s">
        <v>181</v>
      </c>
      <c r="G71" s="48" t="s">
        <v>44</v>
      </c>
      <c r="H71" s="122" t="s">
        <v>158</v>
      </c>
    </row>
    <row r="72" spans="1:11">
      <c r="A72" s="104"/>
      <c r="B72" s="123" t="s">
        <v>206</v>
      </c>
      <c r="C72" s="106"/>
      <c r="D72" s="108">
        <f>+E29</f>
        <v>2</v>
      </c>
      <c r="E72" s="106">
        <f>+D52</f>
        <v>10</v>
      </c>
      <c r="F72" s="106">
        <f>+D72*E72*E33*E35*D$60*0.01</f>
        <v>90</v>
      </c>
      <c r="G72" s="106">
        <f>+F72*K76</f>
        <v>2737.5</v>
      </c>
      <c r="H72" s="122">
        <f>+F72*K73</f>
        <v>32850</v>
      </c>
      <c r="K72" s="7" t="s">
        <v>279</v>
      </c>
    </row>
    <row r="73" spans="1:11">
      <c r="A73" s="104"/>
      <c r="B73" s="123" t="s">
        <v>209</v>
      </c>
      <c r="C73" s="106"/>
      <c r="D73" s="108">
        <f>+E30</f>
        <v>3</v>
      </c>
      <c r="E73" s="106">
        <f>+D51</f>
        <v>13</v>
      </c>
      <c r="F73" s="106">
        <f>+D73*E73*E33*E35*D60*0.01</f>
        <v>175.5</v>
      </c>
      <c r="G73" s="106">
        <f>+F73*K76</f>
        <v>5338.125</v>
      </c>
      <c r="H73" s="122">
        <f>+F73*K73</f>
        <v>64057.5</v>
      </c>
      <c r="K73" s="7">
        <f>+SUM(K59:K70)</f>
        <v>365</v>
      </c>
    </row>
    <row r="74" spans="1:11">
      <c r="A74" s="104"/>
      <c r="B74" s="124"/>
      <c r="C74" s="125"/>
      <c r="D74" s="125"/>
      <c r="E74" s="125"/>
      <c r="F74" s="126">
        <f>+SUM(F72:F73)</f>
        <v>265.5</v>
      </c>
      <c r="G74" s="126">
        <f t="shared" ref="G74" si="1">+SUM(G72:G73)</f>
        <v>8075.625</v>
      </c>
      <c r="H74" s="127">
        <f t="shared" ref="H74" si="2">+SUM(H72:H73)</f>
        <v>96907.5</v>
      </c>
    </row>
    <row r="75" spans="1:11">
      <c r="F75" s="10"/>
      <c r="G75" s="10"/>
      <c r="H75" s="10"/>
      <c r="K75" s="7" t="s">
        <v>278</v>
      </c>
    </row>
    <row r="76" spans="1:11">
      <c r="B76" s="112"/>
      <c r="C76" s="94" t="s">
        <v>181</v>
      </c>
      <c r="D76" s="94" t="s">
        <v>44</v>
      </c>
      <c r="E76" s="186" t="s">
        <v>158</v>
      </c>
      <c r="K76" s="10">
        <f>+AVERAGE(K59:K70)</f>
        <v>30.416666666666668</v>
      </c>
    </row>
    <row r="77" spans="1:11">
      <c r="B77" s="192" t="s">
        <v>210</v>
      </c>
      <c r="C77" s="193">
        <f>+F67+F74</f>
        <v>2209.5</v>
      </c>
      <c r="D77" s="193">
        <f t="shared" ref="D77:E77" si="3">+G67+G74</f>
        <v>67205.625</v>
      </c>
      <c r="E77" s="194">
        <f t="shared" si="3"/>
        <v>806467.5</v>
      </c>
    </row>
    <row r="79" spans="1:11">
      <c r="D79" s="23" t="s">
        <v>174</v>
      </c>
    </row>
    <row r="80" spans="1:11">
      <c r="B80" s="4" t="s">
        <v>235</v>
      </c>
      <c r="D80" s="10">
        <v>2</v>
      </c>
      <c r="E80" s="3" t="s">
        <v>236</v>
      </c>
    </row>
    <row r="81" spans="5:5">
      <c r="E81" s="3" t="s">
        <v>237</v>
      </c>
    </row>
  </sheetData>
  <mergeCells count="2">
    <mergeCell ref="F63:H63"/>
    <mergeCell ref="F70:H7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72"/>
  <sheetViews>
    <sheetView topLeftCell="A13" zoomScaleNormal="100" workbookViewId="0">
      <selection activeCell="K47" sqref="K47"/>
    </sheetView>
  </sheetViews>
  <sheetFormatPr baseColWidth="10" defaultRowHeight="12"/>
  <cols>
    <col min="1" max="1" width="2.28515625" style="1" customWidth="1"/>
    <col min="2" max="2" width="8.7109375" style="2" customWidth="1"/>
    <col min="3" max="3" width="21.28515625" style="2" customWidth="1"/>
    <col min="4" max="4" width="14.5703125" style="1" customWidth="1"/>
    <col min="5" max="5" width="12.140625" style="1" bestFit="1" customWidth="1"/>
    <col min="6" max="6" width="12.5703125" style="1" customWidth="1"/>
    <col min="7" max="7" width="13.7109375" style="1" customWidth="1"/>
    <col min="8" max="8" width="11.28515625" style="1" customWidth="1"/>
    <col min="9" max="9" width="10.42578125" style="1" customWidth="1"/>
    <col min="10" max="10" width="10.7109375" style="1" customWidth="1"/>
    <col min="11" max="11" width="12.5703125" style="1" customWidth="1"/>
    <col min="12" max="12" width="14" style="1" hidden="1" customWidth="1"/>
    <col min="13" max="13" width="8.85546875" style="1" customWidth="1"/>
    <col min="14" max="14" width="5.140625" style="1" customWidth="1"/>
    <col min="15" max="15" width="3.140625" style="1" customWidth="1"/>
    <col min="16" max="16" width="7.5703125" style="1" bestFit="1" customWidth="1"/>
    <col min="17" max="17" width="9.28515625" style="1" bestFit="1" customWidth="1"/>
    <col min="18" max="18" width="13.140625" style="1" customWidth="1"/>
    <col min="19" max="19" width="14.140625" style="1" bestFit="1" customWidth="1"/>
    <col min="20" max="20" width="9.85546875" style="1" hidden="1" customWidth="1"/>
    <col min="21" max="21" width="9" style="1" hidden="1" customWidth="1"/>
    <col min="22" max="22" width="13.5703125" style="1" hidden="1" customWidth="1"/>
    <col min="23" max="23" width="11.7109375" style="1" customWidth="1"/>
    <col min="24" max="24" width="11.140625" style="1" customWidth="1"/>
    <col min="25" max="25" width="2.85546875" style="1" customWidth="1"/>
    <col min="26" max="16384" width="11.42578125" style="1"/>
  </cols>
  <sheetData>
    <row r="2" spans="2:5">
      <c r="B2" s="10" t="s">
        <v>228</v>
      </c>
      <c r="C2" s="2">
        <f>+'Pagos iniciales'!D3</f>
        <v>0.3</v>
      </c>
      <c r="D2" s="3" t="s">
        <v>229</v>
      </c>
    </row>
    <row r="4" spans="2:5">
      <c r="B4" s="10" t="s">
        <v>211</v>
      </c>
      <c r="C4" s="3" t="s">
        <v>212</v>
      </c>
    </row>
    <row r="5" spans="2:5">
      <c r="C5" s="3" t="s">
        <v>213</v>
      </c>
    </row>
    <row r="6" spans="2:5">
      <c r="C6" s="3" t="s">
        <v>214</v>
      </c>
    </row>
    <row r="7" spans="2:5">
      <c r="C7" s="3" t="s">
        <v>215</v>
      </c>
    </row>
    <row r="8" spans="2:5">
      <c r="C8" s="3" t="s">
        <v>216</v>
      </c>
    </row>
    <row r="9" spans="2:5">
      <c r="C9" s="3" t="s">
        <v>217</v>
      </c>
    </row>
    <row r="11" spans="2:5">
      <c r="E11" s="7" t="s">
        <v>10</v>
      </c>
    </row>
    <row r="12" spans="2:5">
      <c r="C12" s="4" t="s">
        <v>220</v>
      </c>
      <c r="E12" s="7"/>
    </row>
    <row r="13" spans="2:5">
      <c r="C13" s="4" t="s">
        <v>221</v>
      </c>
      <c r="E13" s="7">
        <f>+'Pagos iniciales'!E96</f>
        <v>75000</v>
      </c>
    </row>
    <row r="15" spans="2:5">
      <c r="C15" s="4" t="s">
        <v>222</v>
      </c>
    </row>
    <row r="16" spans="2:5">
      <c r="C16" s="4" t="s">
        <v>223</v>
      </c>
      <c r="E16" s="7">
        <f>-'Pagos iniciales'!E95</f>
        <v>-1714696.8</v>
      </c>
    </row>
    <row r="17" spans="1:26">
      <c r="E17" s="7" t="s">
        <v>10</v>
      </c>
    </row>
    <row r="18" spans="1:26">
      <c r="D18" s="1" t="s">
        <v>14</v>
      </c>
      <c r="E18" s="10">
        <f>+E13+E16</f>
        <v>-1639696.8</v>
      </c>
      <c r="F18" s="3" t="s">
        <v>224</v>
      </c>
      <c r="G18" s="3"/>
    </row>
    <row r="19" spans="1:26">
      <c r="C19" s="2" t="s">
        <v>415</v>
      </c>
      <c r="D19" s="1">
        <v>4</v>
      </c>
      <c r="E19" s="10"/>
      <c r="F19" s="3"/>
      <c r="G19" s="3"/>
    </row>
    <row r="20" spans="1:26">
      <c r="E20" s="10"/>
      <c r="F20" s="7" t="s">
        <v>282</v>
      </c>
      <c r="G20" s="3"/>
    </row>
    <row r="21" spans="1:26">
      <c r="B21" s="3" t="s">
        <v>281</v>
      </c>
      <c r="E21" s="10"/>
      <c r="F21" s="10">
        <f>+'neutral hipótesis'!D61</f>
        <v>10</v>
      </c>
      <c r="G21" s="3"/>
    </row>
    <row r="22" spans="1:26">
      <c r="E22" s="10"/>
      <c r="F22" s="3"/>
      <c r="G22" s="3"/>
    </row>
    <row r="23" spans="1:26" ht="12.75" thickBot="1">
      <c r="E23" s="10"/>
      <c r="F23" s="3"/>
      <c r="G23" s="3"/>
    </row>
    <row r="24" spans="1:26">
      <c r="B24" s="35"/>
      <c r="C24" s="22"/>
      <c r="D24" s="17"/>
      <c r="E24" s="77"/>
      <c r="F24" s="33"/>
      <c r="G24" s="33"/>
      <c r="H24" s="17"/>
      <c r="I24" s="17"/>
      <c r="J24" s="17"/>
      <c r="K24" s="17"/>
      <c r="L24" s="17"/>
      <c r="M24" s="78"/>
      <c r="P24" s="196"/>
      <c r="Q24" s="276" t="s">
        <v>234</v>
      </c>
      <c r="R24" s="276"/>
      <c r="S24" s="276"/>
      <c r="T24" s="276"/>
      <c r="U24" s="276"/>
      <c r="V24" s="276"/>
      <c r="W24" s="276"/>
      <c r="X24" s="277"/>
    </row>
    <row r="25" spans="1:26">
      <c r="B25" s="79"/>
      <c r="C25" s="269" t="s">
        <v>234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75"/>
      <c r="P25" s="197" t="s">
        <v>14</v>
      </c>
      <c r="Q25" s="30"/>
      <c r="R25" s="30"/>
      <c r="S25" s="28"/>
      <c r="T25" s="30"/>
      <c r="U25" s="30"/>
      <c r="V25" s="59"/>
      <c r="W25" s="28"/>
      <c r="X25" s="98"/>
    </row>
    <row r="26" spans="1:26">
      <c r="B26" s="80" t="s">
        <v>14</v>
      </c>
      <c r="C26" s="30"/>
      <c r="D26" s="30"/>
      <c r="E26" s="28" t="s">
        <v>226</v>
      </c>
      <c r="F26" s="30"/>
      <c r="G26" s="30"/>
      <c r="H26" s="28" t="s">
        <v>226</v>
      </c>
      <c r="I26" s="30"/>
      <c r="J26" s="28" t="s">
        <v>226</v>
      </c>
      <c r="K26" s="30"/>
      <c r="L26" s="30" t="s">
        <v>232</v>
      </c>
      <c r="M26" s="64"/>
      <c r="P26" s="133" t="s">
        <v>71</v>
      </c>
      <c r="Q26" s="30" t="s">
        <v>256</v>
      </c>
      <c r="R26" s="30" t="s">
        <v>448</v>
      </c>
      <c r="S26" s="28" t="s">
        <v>258</v>
      </c>
      <c r="T26" s="30" t="s">
        <v>233</v>
      </c>
      <c r="U26" s="30" t="s">
        <v>259</v>
      </c>
      <c r="V26" s="28" t="s">
        <v>260</v>
      </c>
      <c r="W26" s="28" t="s">
        <v>261</v>
      </c>
      <c r="X26" s="203" t="s">
        <v>262</v>
      </c>
    </row>
    <row r="27" spans="1:26">
      <c r="B27" s="81" t="s">
        <v>71</v>
      </c>
      <c r="C27" s="28" t="s">
        <v>280</v>
      </c>
      <c r="D27" s="28" t="s">
        <v>252</v>
      </c>
      <c r="E27" s="82" t="s">
        <v>227</v>
      </c>
      <c r="F27" s="87" t="s">
        <v>710</v>
      </c>
      <c r="G27" s="30"/>
      <c r="H27" s="82" t="s">
        <v>231</v>
      </c>
      <c r="I27" s="30" t="s">
        <v>254</v>
      </c>
      <c r="J27" s="82" t="s">
        <v>230</v>
      </c>
      <c r="K27" s="30" t="s">
        <v>710</v>
      </c>
      <c r="L27" s="30" t="s">
        <v>253</v>
      </c>
      <c r="M27" s="64" t="s">
        <v>255</v>
      </c>
      <c r="P27" s="134">
        <v>0</v>
      </c>
      <c r="Q27" s="30">
        <f>+'Pagos iniciales'!D93</f>
        <v>556.79999999999995</v>
      </c>
      <c r="R27" s="30">
        <v>0</v>
      </c>
      <c r="S27" s="28">
        <f>+Q27+R27</f>
        <v>556.79999999999995</v>
      </c>
      <c r="T27" s="30">
        <v>0</v>
      </c>
      <c r="U27" s="30">
        <v>0</v>
      </c>
      <c r="V27" s="28">
        <f>+T27+U27</f>
        <v>0</v>
      </c>
      <c r="W27" s="28">
        <f>+S27-V27</f>
        <v>556.79999999999995</v>
      </c>
      <c r="X27" s="204"/>
    </row>
    <row r="28" spans="1:26">
      <c r="B28" s="83">
        <v>1</v>
      </c>
      <c r="C28" s="30">
        <f>+'neutral hipótesis'!E77*Inflación!D12/('neutral hipótesis'!D60*0.01)</f>
        <v>913996.5</v>
      </c>
      <c r="D28" s="30">
        <f>(-Gastos!E10-Gastos!E17-Gastos!E51-Gastos!E55-Gastos!E67-Gastos!D103-Gastos!E106)*12*Inflación!D12</f>
        <v>-565916.4</v>
      </c>
      <c r="E28" s="28">
        <f>+C28+D28</f>
        <v>348080.1</v>
      </c>
      <c r="F28" s="30">
        <f>-Gastos!E$81-Gastos!D$91</f>
        <v>-88400</v>
      </c>
      <c r="G28" s="30"/>
      <c r="H28" s="28">
        <f>+E28+F28+G28</f>
        <v>259680.09999999998</v>
      </c>
      <c r="I28" s="48">
        <f>-H28*C$2+1092+1800</f>
        <v>-75012.029999999984</v>
      </c>
      <c r="J28" s="28">
        <f t="shared" ref="J28:J31" si="0">+H28+I28</f>
        <v>184668.07</v>
      </c>
      <c r="K28" s="30">
        <f>-F28</f>
        <v>88400</v>
      </c>
      <c r="L28" s="30">
        <v>0</v>
      </c>
      <c r="M28" s="64">
        <f>+J28+K28+L28</f>
        <v>273068.07</v>
      </c>
      <c r="P28" s="134">
        <v>1</v>
      </c>
      <c r="Q28" s="30">
        <v>0</v>
      </c>
      <c r="R28" s="30">
        <f>+F$21*0.01*C28</f>
        <v>91399.650000000009</v>
      </c>
      <c r="S28" s="28">
        <f t="shared" ref="S28:S31" si="1">+Q28+R28</f>
        <v>91399.650000000009</v>
      </c>
      <c r="T28" s="30">
        <v>0</v>
      </c>
      <c r="U28" s="30">
        <v>0</v>
      </c>
      <c r="V28" s="28">
        <f t="shared" ref="V28:V31" si="2">+T28+U28</f>
        <v>0</v>
      </c>
      <c r="W28" s="28">
        <f>+S28-V28</f>
        <v>91399.650000000009</v>
      </c>
      <c r="X28" s="98">
        <f>+W28-W27</f>
        <v>90842.85</v>
      </c>
    </row>
    <row r="29" spans="1:26">
      <c r="B29" s="83">
        <v>2</v>
      </c>
      <c r="C29" s="30">
        <f>+C28*(1+'neutral hipótesis'!D$80*0.01)*Inflación!D13</f>
        <v>950921.95860000001</v>
      </c>
      <c r="D29" s="47">
        <f>+D28*Inflación!D13</f>
        <v>-577234.728</v>
      </c>
      <c r="E29" s="28">
        <f t="shared" ref="E29:E31" si="3">+C29+D29</f>
        <v>373687.23060000001</v>
      </c>
      <c r="F29" s="30">
        <f>-Gastos!E$81-Gastos!D$91</f>
        <v>-88400</v>
      </c>
      <c r="G29" s="30"/>
      <c r="H29" s="28">
        <f t="shared" ref="H29:H31" si="4">+E29+F29+G29</f>
        <v>285287.23060000001</v>
      </c>
      <c r="I29" s="30">
        <f t="shared" ref="I29" si="5">-H29*C$2</f>
        <v>-85586.169179999997</v>
      </c>
      <c r="J29" s="28">
        <f t="shared" si="0"/>
        <v>199701.06142000001</v>
      </c>
      <c r="K29" s="30">
        <f t="shared" ref="K29:K31" si="6">-F29</f>
        <v>88400</v>
      </c>
      <c r="L29" s="30">
        <v>0</v>
      </c>
      <c r="M29" s="64">
        <f t="shared" ref="M29:M31" si="7">+J29+K29+L29</f>
        <v>288101.06142000004</v>
      </c>
      <c r="P29" s="134">
        <v>2</v>
      </c>
      <c r="Q29" s="30">
        <v>0</v>
      </c>
      <c r="R29" s="30">
        <f t="shared" ref="R29:R31" si="8">+F$21*0.01*C29</f>
        <v>95092.195860000007</v>
      </c>
      <c r="S29" s="28">
        <f t="shared" si="1"/>
        <v>95092.195860000007</v>
      </c>
      <c r="T29" s="30">
        <v>0</v>
      </c>
      <c r="U29" s="30">
        <v>0</v>
      </c>
      <c r="V29" s="28">
        <f t="shared" si="2"/>
        <v>0</v>
      </c>
      <c r="W29" s="28">
        <f>+S29-V29</f>
        <v>95092.195860000007</v>
      </c>
      <c r="X29" s="98">
        <f t="shared" ref="X29:X31" si="9">+W29-W28</f>
        <v>3692.5458599999984</v>
      </c>
    </row>
    <row r="30" spans="1:26">
      <c r="B30" s="83">
        <v>3</v>
      </c>
      <c r="C30" s="30">
        <f>+C29*(1+'neutral hipótesis'!D$80*0.01)*Inflación!D14</f>
        <v>989339.20572744007</v>
      </c>
      <c r="D30" s="47">
        <f>+D29*Inflación!D14</f>
        <v>-588779.42255999998</v>
      </c>
      <c r="E30" s="28">
        <f t="shared" si="3"/>
        <v>400559.78316744009</v>
      </c>
      <c r="F30" s="30">
        <f>-Gastos!E$81-Gastos!D$91</f>
        <v>-88400</v>
      </c>
      <c r="G30" s="30"/>
      <c r="H30" s="28">
        <f t="shared" si="4"/>
        <v>312159.78316744009</v>
      </c>
      <c r="I30" s="30">
        <f>-H30*C$2</f>
        <v>-93647.934950232026</v>
      </c>
      <c r="J30" s="28">
        <f t="shared" si="0"/>
        <v>218511.84821720805</v>
      </c>
      <c r="K30" s="30">
        <f t="shared" si="6"/>
        <v>88400</v>
      </c>
      <c r="L30" s="30">
        <v>0</v>
      </c>
      <c r="M30" s="64">
        <f t="shared" si="7"/>
        <v>306911.84821720805</v>
      </c>
      <c r="P30" s="134">
        <v>3</v>
      </c>
      <c r="Q30" s="30">
        <v>0</v>
      </c>
      <c r="R30" s="30">
        <f t="shared" si="8"/>
        <v>98933.920572744013</v>
      </c>
      <c r="S30" s="28">
        <f t="shared" si="1"/>
        <v>98933.920572744013</v>
      </c>
      <c r="T30" s="30">
        <v>0</v>
      </c>
      <c r="U30" s="30">
        <v>0</v>
      </c>
      <c r="V30" s="28">
        <f t="shared" si="2"/>
        <v>0</v>
      </c>
      <c r="W30" s="28">
        <f>+S30-V30</f>
        <v>98933.920572744013</v>
      </c>
      <c r="X30" s="98">
        <f t="shared" si="9"/>
        <v>3841.724712744006</v>
      </c>
    </row>
    <row r="31" spans="1:26" ht="12.75" thickBot="1">
      <c r="B31" s="84">
        <v>4</v>
      </c>
      <c r="C31" s="21">
        <f>+C30*(1+'neutral hipótesis'!D$80*0.01)*Inflación!D15</f>
        <v>1029308.5096388287</v>
      </c>
      <c r="D31" s="141">
        <f>+D30*Inflación!D15</f>
        <v>-600555.01101120003</v>
      </c>
      <c r="E31" s="26">
        <f t="shared" si="3"/>
        <v>428753.49862762867</v>
      </c>
      <c r="F31" s="21">
        <f>-Gastos!E$81-Gastos!D$91</f>
        <v>-88400</v>
      </c>
      <c r="G31" s="21"/>
      <c r="H31" s="26">
        <f t="shared" si="4"/>
        <v>340353.49862762867</v>
      </c>
      <c r="I31" s="21">
        <f>-H31*C$2</f>
        <v>-102106.0495882886</v>
      </c>
      <c r="J31" s="26">
        <f t="shared" si="0"/>
        <v>238247.44903934008</v>
      </c>
      <c r="K31" s="21">
        <f t="shared" si="6"/>
        <v>88400</v>
      </c>
      <c r="L31" s="21">
        <v>0</v>
      </c>
      <c r="M31" s="38">
        <f t="shared" si="7"/>
        <v>326647.44903934008</v>
      </c>
      <c r="P31" s="135">
        <v>4</v>
      </c>
      <c r="Q31" s="224">
        <v>0</v>
      </c>
      <c r="R31" s="224">
        <f t="shared" si="8"/>
        <v>102930.85096388287</v>
      </c>
      <c r="S31" s="223">
        <f t="shared" si="1"/>
        <v>102930.85096388287</v>
      </c>
      <c r="T31" s="224">
        <v>0</v>
      </c>
      <c r="U31" s="224">
        <v>0</v>
      </c>
      <c r="V31" s="223">
        <f t="shared" si="2"/>
        <v>0</v>
      </c>
      <c r="W31" s="252">
        <f>+S31-V31</f>
        <v>102930.85096388287</v>
      </c>
      <c r="X31" s="111">
        <f t="shared" si="9"/>
        <v>3996.9303911388561</v>
      </c>
    </row>
    <row r="32" spans="1:26">
      <c r="A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251"/>
      <c r="Q32" s="251"/>
      <c r="R32" s="251"/>
      <c r="S32" s="251"/>
      <c r="T32" s="251"/>
      <c r="U32" s="251"/>
      <c r="V32" s="251"/>
      <c r="W32" s="251"/>
      <c r="X32" s="251"/>
      <c r="Y32" s="6"/>
      <c r="Z32" s="6"/>
    </row>
    <row r="33" spans="1:14">
      <c r="A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B34" s="1"/>
    </row>
    <row r="35" spans="1:14">
      <c r="B35" s="1"/>
      <c r="C35" s="196"/>
      <c r="D35" s="278" t="s">
        <v>433</v>
      </c>
      <c r="E35" s="278"/>
      <c r="F35" s="278"/>
      <c r="G35" s="279"/>
    </row>
    <row r="36" spans="1:14">
      <c r="B36" s="1"/>
      <c r="C36" s="97"/>
      <c r="D36" s="94" t="s">
        <v>408</v>
      </c>
      <c r="E36" s="94" t="s">
        <v>407</v>
      </c>
      <c r="F36" s="94" t="s">
        <v>409</v>
      </c>
      <c r="G36" s="186" t="s">
        <v>410</v>
      </c>
    </row>
    <row r="37" spans="1:14">
      <c r="C37" s="133" t="s">
        <v>411</v>
      </c>
      <c r="D37" s="30">
        <f>+C28</f>
        <v>913996.5</v>
      </c>
      <c r="E37" s="30">
        <f>+C29</f>
        <v>950921.95860000001</v>
      </c>
      <c r="F37" s="30">
        <f>+C30</f>
        <v>989339.20572744007</v>
      </c>
      <c r="G37" s="96">
        <f>+C31</f>
        <v>1029308.5096388287</v>
      </c>
    </row>
    <row r="38" spans="1:14">
      <c r="B38" s="1"/>
      <c r="C38" s="133" t="s">
        <v>412</v>
      </c>
      <c r="D38" s="30">
        <f>+D28</f>
        <v>-565916.4</v>
      </c>
      <c r="E38" s="30">
        <f>-D29*-1</f>
        <v>-577234.728</v>
      </c>
      <c r="F38" s="30">
        <f>+D30</f>
        <v>-588779.42255999998</v>
      </c>
      <c r="G38" s="96">
        <f>+D31</f>
        <v>-600555.01101120003</v>
      </c>
    </row>
    <row r="39" spans="1:14">
      <c r="B39" s="1"/>
      <c r="C39" s="95" t="s">
        <v>413</v>
      </c>
      <c r="D39" s="30">
        <f>+F28</f>
        <v>-88400</v>
      </c>
      <c r="E39" s="30">
        <f>+F29</f>
        <v>-88400</v>
      </c>
      <c r="F39" s="30">
        <f>+F30</f>
        <v>-88400</v>
      </c>
      <c r="G39" s="96">
        <f>+F31</f>
        <v>-88400</v>
      </c>
    </row>
    <row r="40" spans="1:14" hidden="1">
      <c r="B40" s="1"/>
      <c r="C40" s="133" t="s">
        <v>414</v>
      </c>
      <c r="D40" s="30">
        <v>0</v>
      </c>
      <c r="E40" s="30">
        <v>0</v>
      </c>
      <c r="F40" s="30">
        <v>0</v>
      </c>
      <c r="G40" s="96">
        <v>0</v>
      </c>
    </row>
    <row r="41" spans="1:14">
      <c r="B41" s="1"/>
      <c r="C41" s="197" t="s">
        <v>435</v>
      </c>
      <c r="D41" s="28">
        <f>+SUM(D37:D40)</f>
        <v>259680.09999999998</v>
      </c>
      <c r="E41" s="28">
        <f t="shared" ref="E41:G41" si="10">+SUM(E37:E40)</f>
        <v>285287.23060000001</v>
      </c>
      <c r="F41" s="28">
        <f t="shared" si="10"/>
        <v>312159.78316744009</v>
      </c>
      <c r="G41" s="98">
        <f t="shared" si="10"/>
        <v>340353.49862762867</v>
      </c>
    </row>
    <row r="42" spans="1:14">
      <c r="B42" s="1"/>
      <c r="C42" s="133" t="s">
        <v>416</v>
      </c>
      <c r="D42" s="30">
        <f>-D41*C2+'Pagos iniciales'!E74+'Pagos iniciales'!E82</f>
        <v>-75012.029999999984</v>
      </c>
      <c r="E42" s="30">
        <f>-E41*C2</f>
        <v>-85586.169179999997</v>
      </c>
      <c r="F42" s="30">
        <f>-F41*C2</f>
        <v>-93647.934950232026</v>
      </c>
      <c r="G42" s="96">
        <f>+G41*C2*-1</f>
        <v>-102106.0495882886</v>
      </c>
    </row>
    <row r="43" spans="1:14">
      <c r="B43" s="1"/>
      <c r="C43" s="197" t="s">
        <v>436</v>
      </c>
      <c r="D43" s="28">
        <f>+D41+D42</f>
        <v>184668.07</v>
      </c>
      <c r="E43" s="28">
        <f t="shared" ref="E43:G43" si="11">+E41+E42</f>
        <v>199701.06142000001</v>
      </c>
      <c r="F43" s="28">
        <f t="shared" si="11"/>
        <v>218511.84821720805</v>
      </c>
      <c r="G43" s="98">
        <f t="shared" si="11"/>
        <v>238247.44903934008</v>
      </c>
    </row>
    <row r="44" spans="1:14">
      <c r="B44" s="1"/>
      <c r="C44" s="133" t="s">
        <v>417</v>
      </c>
      <c r="D44" s="30">
        <f>-D39</f>
        <v>88400</v>
      </c>
      <c r="E44" s="30">
        <f t="shared" ref="E44:G44" si="12">-E39</f>
        <v>88400</v>
      </c>
      <c r="F44" s="30">
        <f t="shared" si="12"/>
        <v>88400</v>
      </c>
      <c r="G44" s="96">
        <f t="shared" si="12"/>
        <v>88400</v>
      </c>
    </row>
    <row r="45" spans="1:14" hidden="1">
      <c r="B45" s="1"/>
      <c r="C45" s="133" t="s">
        <v>414</v>
      </c>
      <c r="D45" s="30">
        <v>0</v>
      </c>
      <c r="E45" s="30">
        <v>0</v>
      </c>
      <c r="F45" s="30">
        <v>0</v>
      </c>
      <c r="G45" s="96">
        <v>0</v>
      </c>
    </row>
    <row r="46" spans="1:14">
      <c r="B46" s="1"/>
      <c r="C46" s="197" t="s">
        <v>419</v>
      </c>
      <c r="D46" s="30">
        <f>+D43+D44+D45</f>
        <v>273068.07</v>
      </c>
      <c r="E46" s="30">
        <f t="shared" ref="E46:G46" si="13">+E43+E44+E45</f>
        <v>288101.06142000004</v>
      </c>
      <c r="F46" s="30">
        <f t="shared" si="13"/>
        <v>306911.84821720805</v>
      </c>
      <c r="G46" s="96">
        <f t="shared" si="13"/>
        <v>326647.44903934008</v>
      </c>
    </row>
    <row r="47" spans="1:14">
      <c r="B47" s="1"/>
      <c r="C47" s="198" t="s">
        <v>418</v>
      </c>
      <c r="D47" s="30">
        <f>+X28</f>
        <v>90842.85</v>
      </c>
      <c r="E47" s="30">
        <f>+X29</f>
        <v>3692.5458599999984</v>
      </c>
      <c r="F47" s="30">
        <f>+X30</f>
        <v>3841.724712744006</v>
      </c>
      <c r="G47" s="96">
        <f>+X31</f>
        <v>3996.9303911388561</v>
      </c>
    </row>
    <row r="48" spans="1:14">
      <c r="B48" s="1"/>
      <c r="C48" s="199" t="s">
        <v>434</v>
      </c>
      <c r="D48" s="146">
        <f>+D46-D47</f>
        <v>182225.22</v>
      </c>
      <c r="E48" s="146">
        <f t="shared" ref="E48:G48" si="14">+E46-E47</f>
        <v>284408.51556000003</v>
      </c>
      <c r="F48" s="146">
        <f t="shared" si="14"/>
        <v>303070.12350446405</v>
      </c>
      <c r="G48" s="111">
        <f t="shared" si="14"/>
        <v>322650.51864820125</v>
      </c>
    </row>
    <row r="49" spans="2:4">
      <c r="B49" s="1"/>
    </row>
    <row r="50" spans="2:4">
      <c r="B50" s="208" t="s">
        <v>420</v>
      </c>
      <c r="C50" s="209"/>
      <c r="D50" s="201"/>
    </row>
    <row r="51" spans="2:4">
      <c r="B51" s="190"/>
      <c r="C51" s="86"/>
      <c r="D51" s="96" t="s">
        <v>7</v>
      </c>
    </row>
    <row r="52" spans="2:4">
      <c r="B52" s="95" t="s">
        <v>421</v>
      </c>
      <c r="C52" s="86"/>
      <c r="D52" s="98">
        <f>+W31</f>
        <v>102930.85096388287</v>
      </c>
    </row>
    <row r="53" spans="2:4">
      <c r="B53" s="95" t="s">
        <v>422</v>
      </c>
      <c r="C53" s="86"/>
      <c r="D53" s="96">
        <f>+'Pagos iniciales'!F9*'Pagos iniciales'!F17-Gastos!G79*'neutral valoracion'!D19</f>
        <v>686400</v>
      </c>
    </row>
    <row r="54" spans="2:4">
      <c r="B54" s="95" t="s">
        <v>423</v>
      </c>
      <c r="C54" s="86"/>
      <c r="D54" s="96">
        <f>+'Pagos iniciales'!F8*'Pagos iniciales'!F16-Gastos!G80*'neutral valoracion'!D19</f>
        <v>176000</v>
      </c>
    </row>
    <row r="55" spans="2:4">
      <c r="B55" s="190" t="s">
        <v>424</v>
      </c>
      <c r="C55" s="86"/>
      <c r="D55" s="98">
        <f>+D53</f>
        <v>686400</v>
      </c>
    </row>
    <row r="56" spans="2:4">
      <c r="B56" s="190" t="s">
        <v>425</v>
      </c>
      <c r="C56" s="86"/>
      <c r="D56" s="98">
        <f>+D54</f>
        <v>176000</v>
      </c>
    </row>
    <row r="57" spans="2:4">
      <c r="B57" s="97"/>
      <c r="C57" s="86"/>
      <c r="D57" s="204"/>
    </row>
    <row r="58" spans="2:4">
      <c r="B58" s="191" t="s">
        <v>426</v>
      </c>
      <c r="C58" s="102"/>
      <c r="D58" s="194">
        <f>+D56+D55+D52</f>
        <v>965330.85096388287</v>
      </c>
    </row>
    <row r="60" spans="2:4">
      <c r="B60" s="4" t="s">
        <v>427</v>
      </c>
    </row>
    <row r="61" spans="2:4">
      <c r="C61" s="212"/>
      <c r="D61" s="213" t="s">
        <v>234</v>
      </c>
    </row>
    <row r="62" spans="2:4">
      <c r="C62" s="214" t="s">
        <v>71</v>
      </c>
      <c r="D62" s="215" t="s">
        <v>428</v>
      </c>
    </row>
    <row r="63" spans="2:4">
      <c r="C63" s="216">
        <v>1</v>
      </c>
      <c r="D63" s="217">
        <f>+D48</f>
        <v>182225.22</v>
      </c>
    </row>
    <row r="64" spans="2:4">
      <c r="C64" s="216">
        <v>2</v>
      </c>
      <c r="D64" s="217">
        <f>+E48</f>
        <v>284408.51556000003</v>
      </c>
    </row>
    <row r="65" spans="2:4">
      <c r="C65" s="216">
        <v>3</v>
      </c>
      <c r="D65" s="217">
        <f>+F48</f>
        <v>303070.12350446405</v>
      </c>
    </row>
    <row r="66" spans="2:4">
      <c r="C66" s="218">
        <v>4</v>
      </c>
      <c r="D66" s="219">
        <f>+G48+D58</f>
        <v>1287981.3696120842</v>
      </c>
    </row>
    <row r="67" spans="2:4">
      <c r="C67" s="10" t="s">
        <v>100</v>
      </c>
    </row>
    <row r="68" spans="2:4">
      <c r="B68" s="10" t="s">
        <v>291</v>
      </c>
      <c r="C68" s="7" t="e">
        <f>+#REF!</f>
        <v>#REF!</v>
      </c>
    </row>
    <row r="69" spans="2:4">
      <c r="C69" s="7" t="s">
        <v>10</v>
      </c>
    </row>
    <row r="70" spans="2:4" ht="13.5">
      <c r="B70" s="25" t="s">
        <v>333</v>
      </c>
      <c r="C70" s="10" t="e">
        <f>+NPV(C68/100,D63:D66)</f>
        <v>#REF!</v>
      </c>
    </row>
    <row r="71" spans="2:4">
      <c r="C71" s="7" t="s">
        <v>10</v>
      </c>
    </row>
    <row r="72" spans="2:4">
      <c r="B72" s="25" t="s">
        <v>295</v>
      </c>
      <c r="C72" s="10" t="e">
        <f>+C70+E18</f>
        <v>#REF!</v>
      </c>
    </row>
  </sheetData>
  <mergeCells count="3">
    <mergeCell ref="C25:M25"/>
    <mergeCell ref="Q24:X24"/>
    <mergeCell ref="D35:G35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K81"/>
  <sheetViews>
    <sheetView topLeftCell="A46" workbookViewId="0">
      <selection activeCell="H86" sqref="H86"/>
    </sheetView>
  </sheetViews>
  <sheetFormatPr baseColWidth="10" defaultRowHeight="12"/>
  <cols>
    <col min="1" max="1" width="3.140625" style="23" customWidth="1"/>
    <col min="2" max="2" width="19.140625" style="23" customWidth="1"/>
    <col min="3" max="3" width="11.7109375" style="23" customWidth="1"/>
    <col min="4" max="4" width="18" style="23" customWidth="1"/>
    <col min="5" max="5" width="11.42578125" style="23"/>
    <col min="6" max="6" width="10.42578125" style="2" customWidth="1"/>
    <col min="7" max="7" width="11.140625" style="23" customWidth="1"/>
    <col min="8" max="8" width="10.7109375" style="23" customWidth="1"/>
    <col min="9" max="16384" width="11.42578125" style="23"/>
  </cols>
  <sheetData>
    <row r="3" spans="2:6">
      <c r="B3" s="5" t="s">
        <v>171</v>
      </c>
    </row>
    <row r="5" spans="2:6">
      <c r="B5" s="4" t="s">
        <v>286</v>
      </c>
      <c r="E5" s="23" t="s">
        <v>174</v>
      </c>
    </row>
    <row r="6" spans="2:6">
      <c r="B6" s="3" t="s">
        <v>173</v>
      </c>
      <c r="E6" s="23">
        <v>10</v>
      </c>
    </row>
    <row r="7" spans="2:6">
      <c r="E7" s="23" t="s">
        <v>174</v>
      </c>
    </row>
    <row r="8" spans="2:6">
      <c r="B8" s="3" t="s">
        <v>183</v>
      </c>
      <c r="E8" s="195">
        <v>65</v>
      </c>
      <c r="F8" s="3" t="s">
        <v>437</v>
      </c>
    </row>
    <row r="9" spans="2:6">
      <c r="B9" s="3"/>
      <c r="F9" s="3" t="s">
        <v>175</v>
      </c>
    </row>
    <row r="10" spans="2:6">
      <c r="B10" s="3"/>
      <c r="E10" s="7" t="s">
        <v>185</v>
      </c>
      <c r="F10" s="3"/>
    </row>
    <row r="11" spans="2:6">
      <c r="B11" s="3" t="s">
        <v>197</v>
      </c>
      <c r="E11" s="40">
        <f>+'Pagos iniciales'!F7</f>
        <v>60</v>
      </c>
      <c r="F11" s="3"/>
    </row>
    <row r="12" spans="2:6">
      <c r="B12" s="3"/>
      <c r="E12" s="7" t="s">
        <v>185</v>
      </c>
      <c r="F12" s="23"/>
    </row>
    <row r="13" spans="2:6">
      <c r="B13" s="3" t="s">
        <v>184</v>
      </c>
      <c r="E13" s="12">
        <f>+E11*E8*0.01</f>
        <v>39</v>
      </c>
      <c r="F13" s="3" t="s">
        <v>186</v>
      </c>
    </row>
    <row r="14" spans="2:6">
      <c r="F14" s="3" t="s">
        <v>446</v>
      </c>
    </row>
    <row r="15" spans="2:6">
      <c r="D15" s="23" t="s">
        <v>174</v>
      </c>
      <c r="F15" s="3"/>
    </row>
    <row r="16" spans="2:6">
      <c r="B16" s="3" t="s">
        <v>201</v>
      </c>
      <c r="D16" s="7">
        <v>60</v>
      </c>
      <c r="F16" s="3"/>
    </row>
    <row r="17" spans="2:6">
      <c r="B17" s="3" t="s">
        <v>202</v>
      </c>
      <c r="D17" s="7">
        <f>100-D16</f>
        <v>40</v>
      </c>
      <c r="F17" s="3"/>
    </row>
    <row r="18" spans="2:6" ht="12.75" thickBot="1">
      <c r="B18" s="3"/>
      <c r="D18" s="7"/>
      <c r="F18" s="3"/>
    </row>
    <row r="19" spans="2:6">
      <c r="B19" s="60"/>
      <c r="C19" s="61"/>
      <c r="D19" s="18"/>
      <c r="E19" s="36" t="s">
        <v>179</v>
      </c>
      <c r="F19" s="3"/>
    </row>
    <row r="20" spans="2:6">
      <c r="B20" s="66" t="s">
        <v>203</v>
      </c>
      <c r="C20" s="63"/>
      <c r="D20" s="30"/>
      <c r="E20" s="68">
        <f>+ROUNDUP(D16*E13*0.01,0)</f>
        <v>24</v>
      </c>
      <c r="F20" s="3"/>
    </row>
    <row r="21" spans="2:6" ht="12.75" thickBot="1">
      <c r="B21" s="67" t="s">
        <v>204</v>
      </c>
      <c r="C21" s="65"/>
      <c r="D21" s="21"/>
      <c r="E21" s="69">
        <f>+E13-E20</f>
        <v>15</v>
      </c>
      <c r="F21" s="3"/>
    </row>
    <row r="22" spans="2:6">
      <c r="F22" s="3"/>
    </row>
    <row r="23" spans="2:6">
      <c r="E23" s="23" t="s">
        <v>174</v>
      </c>
      <c r="F23" s="3"/>
    </row>
    <row r="24" spans="2:6">
      <c r="B24" s="3" t="s">
        <v>187</v>
      </c>
      <c r="E24" s="195">
        <v>6</v>
      </c>
      <c r="F24" s="3"/>
    </row>
    <row r="25" spans="2:6">
      <c r="B25" s="3"/>
      <c r="E25" s="7" t="s">
        <v>179</v>
      </c>
      <c r="F25" s="3"/>
    </row>
    <row r="26" spans="2:6">
      <c r="B26" s="3" t="s">
        <v>198</v>
      </c>
      <c r="E26" s="91">
        <f>+ROUNDUP(E24*E11*0.01,0)</f>
        <v>4</v>
      </c>
      <c r="F26" s="3"/>
    </row>
    <row r="27" spans="2:6" ht="12.75" thickBot="1">
      <c r="B27" s="3"/>
      <c r="E27" s="25"/>
      <c r="F27" s="3"/>
    </row>
    <row r="28" spans="2:6">
      <c r="B28" s="60"/>
      <c r="C28" s="61"/>
      <c r="D28" s="18"/>
      <c r="E28" s="36" t="s">
        <v>179</v>
      </c>
      <c r="F28" s="3"/>
    </row>
    <row r="29" spans="2:6">
      <c r="B29" s="66" t="s">
        <v>290</v>
      </c>
      <c r="C29" s="63"/>
      <c r="D29" s="30"/>
      <c r="E29" s="68">
        <f>+ROUNDUP(E26*D16*0.01,0)</f>
        <v>3</v>
      </c>
      <c r="F29" s="3"/>
    </row>
    <row r="30" spans="2:6" ht="12.75" thickBot="1">
      <c r="B30" s="67" t="s">
        <v>205</v>
      </c>
      <c r="C30" s="65"/>
      <c r="D30" s="21"/>
      <c r="E30" s="69">
        <f>+E26-E29</f>
        <v>1</v>
      </c>
      <c r="F30" s="3"/>
    </row>
    <row r="31" spans="2:6">
      <c r="B31" s="3"/>
      <c r="E31" s="25"/>
      <c r="F31" s="3"/>
    </row>
    <row r="32" spans="2:6">
      <c r="B32" s="3"/>
      <c r="E32" s="7" t="s">
        <v>23</v>
      </c>
      <c r="F32" s="3"/>
    </row>
    <row r="33" spans="2:6">
      <c r="B33" s="3" t="s">
        <v>188</v>
      </c>
      <c r="E33" s="7">
        <v>4</v>
      </c>
      <c r="F33" s="3"/>
    </row>
    <row r="34" spans="2:6">
      <c r="B34" s="3"/>
      <c r="E34" s="7" t="s">
        <v>191</v>
      </c>
      <c r="F34" s="3"/>
    </row>
    <row r="35" spans="2:6">
      <c r="B35" s="3" t="s">
        <v>192</v>
      </c>
      <c r="E35" s="7">
        <v>1</v>
      </c>
      <c r="F35" s="3"/>
    </row>
    <row r="36" spans="2:6" ht="12.75" thickBot="1">
      <c r="B36" s="3"/>
      <c r="E36" s="7"/>
      <c r="F36" s="3"/>
    </row>
    <row r="37" spans="2:6">
      <c r="B37" s="60"/>
      <c r="C37" s="61"/>
      <c r="D37" s="36" t="s">
        <v>185</v>
      </c>
      <c r="E37" s="7"/>
      <c r="F37" s="3"/>
    </row>
    <row r="38" spans="2:6">
      <c r="B38" s="62" t="s">
        <v>199</v>
      </c>
      <c r="C38" s="63"/>
      <c r="D38" s="68">
        <f>+ROUNDUP(E20+E21+E29+E30,0)</f>
        <v>43</v>
      </c>
      <c r="E38" s="7"/>
      <c r="F38" s="3"/>
    </row>
    <row r="39" spans="2:6" ht="12.75" thickBot="1">
      <c r="B39" s="37" t="s">
        <v>200</v>
      </c>
      <c r="C39" s="65"/>
      <c r="D39" s="69">
        <f>+ROUNDUP(E11-D38,0)</f>
        <v>17</v>
      </c>
      <c r="E39" s="7"/>
      <c r="F39" s="3"/>
    </row>
    <row r="40" spans="2:6">
      <c r="F40" s="3"/>
    </row>
    <row r="41" spans="2:6">
      <c r="D41" s="10" t="s">
        <v>179</v>
      </c>
    </row>
    <row r="42" spans="2:6">
      <c r="B42" s="4" t="s">
        <v>176</v>
      </c>
      <c r="D42" s="12">
        <f>+D43+D44</f>
        <v>60</v>
      </c>
    </row>
    <row r="43" spans="2:6">
      <c r="B43" s="3" t="s">
        <v>177</v>
      </c>
      <c r="D43" s="40">
        <f>+'Pagos iniciales'!F9</f>
        <v>36</v>
      </c>
    </row>
    <row r="44" spans="2:6">
      <c r="B44" s="3" t="s">
        <v>178</v>
      </c>
      <c r="D44" s="40">
        <f>+'Pagos iniciales'!F8</f>
        <v>24</v>
      </c>
    </row>
    <row r="46" spans="2:6">
      <c r="B46" s="4" t="s">
        <v>189</v>
      </c>
      <c r="D46" s="7" t="s">
        <v>181</v>
      </c>
    </row>
    <row r="47" spans="2:6">
      <c r="B47" s="3" t="s">
        <v>180</v>
      </c>
      <c r="D47" s="23">
        <v>40</v>
      </c>
      <c r="E47" s="3" t="s">
        <v>193</v>
      </c>
    </row>
    <row r="48" spans="2:6">
      <c r="B48" s="3" t="s">
        <v>182</v>
      </c>
      <c r="D48" s="7">
        <v>35</v>
      </c>
      <c r="E48" s="3" t="s">
        <v>194</v>
      </c>
    </row>
    <row r="50" spans="2:11">
      <c r="B50" s="4" t="s">
        <v>190</v>
      </c>
      <c r="D50" s="7" t="s">
        <v>26</v>
      </c>
    </row>
    <row r="51" spans="2:11">
      <c r="B51" s="3" t="s">
        <v>180</v>
      </c>
      <c r="D51" s="23">
        <v>10</v>
      </c>
      <c r="E51" s="3" t="s">
        <v>195</v>
      </c>
    </row>
    <row r="52" spans="2:11">
      <c r="B52" s="3" t="s">
        <v>182</v>
      </c>
      <c r="D52" s="7">
        <v>9</v>
      </c>
      <c r="E52" s="3" t="s">
        <v>196</v>
      </c>
    </row>
    <row r="53" spans="2:11">
      <c r="E53" s="2"/>
    </row>
    <row r="55" spans="2:11">
      <c r="B55" s="4" t="s">
        <v>263</v>
      </c>
    </row>
    <row r="56" spans="2:11">
      <c r="B56" s="4"/>
    </row>
    <row r="57" spans="2:11">
      <c r="B57" s="4" t="s">
        <v>432</v>
      </c>
      <c r="D57" s="7"/>
    </row>
    <row r="58" spans="2:11">
      <c r="B58" s="4"/>
      <c r="D58" s="7"/>
      <c r="K58" s="7" t="s">
        <v>278</v>
      </c>
    </row>
    <row r="59" spans="2:11">
      <c r="B59" s="4"/>
      <c r="D59" s="7" t="s">
        <v>174</v>
      </c>
      <c r="J59" s="7" t="s">
        <v>266</v>
      </c>
      <c r="K59" s="23">
        <v>31</v>
      </c>
    </row>
    <row r="60" spans="2:11">
      <c r="B60" s="3" t="s">
        <v>264</v>
      </c>
      <c r="D60" s="7">
        <v>90</v>
      </c>
      <c r="J60" s="7" t="s">
        <v>267</v>
      </c>
      <c r="K60" s="23">
        <v>28</v>
      </c>
    </row>
    <row r="61" spans="2:11">
      <c r="B61" s="3" t="s">
        <v>265</v>
      </c>
      <c r="D61" s="7">
        <f>100-D60</f>
        <v>10</v>
      </c>
      <c r="J61" s="7" t="s">
        <v>268</v>
      </c>
      <c r="K61" s="23">
        <v>31</v>
      </c>
    </row>
    <row r="62" spans="2:11">
      <c r="B62" s="4"/>
      <c r="D62" s="7"/>
      <c r="J62" s="7" t="s">
        <v>269</v>
      </c>
      <c r="K62" s="23">
        <v>30</v>
      </c>
    </row>
    <row r="63" spans="2:11">
      <c r="B63" s="139"/>
      <c r="C63" s="93"/>
      <c r="D63" s="94"/>
      <c r="E63" s="114" t="s">
        <v>208</v>
      </c>
      <c r="F63" s="280" t="s">
        <v>429</v>
      </c>
      <c r="G63" s="280"/>
      <c r="H63" s="281"/>
      <c r="J63" s="7" t="s">
        <v>270</v>
      </c>
      <c r="K63" s="23">
        <v>31</v>
      </c>
    </row>
    <row r="64" spans="2:11">
      <c r="B64" s="95"/>
      <c r="C64" s="63"/>
      <c r="D64" s="30" t="s">
        <v>207</v>
      </c>
      <c r="E64" s="30" t="s">
        <v>181</v>
      </c>
      <c r="F64" s="30" t="s">
        <v>181</v>
      </c>
      <c r="G64" s="30" t="s">
        <v>44</v>
      </c>
      <c r="H64" s="96" t="s">
        <v>158</v>
      </c>
      <c r="J64" s="7" t="s">
        <v>271</v>
      </c>
      <c r="K64" s="23">
        <v>30</v>
      </c>
    </row>
    <row r="65" spans="2:11">
      <c r="B65" s="95" t="s">
        <v>206</v>
      </c>
      <c r="C65" s="63"/>
      <c r="D65" s="85">
        <f>+E20</f>
        <v>24</v>
      </c>
      <c r="E65" s="63">
        <f>+D48</f>
        <v>35</v>
      </c>
      <c r="F65" s="63">
        <f>+D65*E65*D$60*0.01</f>
        <v>756</v>
      </c>
      <c r="G65" s="63">
        <f>+F65*K$76</f>
        <v>22995</v>
      </c>
      <c r="H65" s="96">
        <f>+F65*K$73</f>
        <v>275940</v>
      </c>
      <c r="J65" s="7" t="s">
        <v>272</v>
      </c>
      <c r="K65" s="23">
        <v>31</v>
      </c>
    </row>
    <row r="66" spans="2:11">
      <c r="B66" s="95" t="s">
        <v>209</v>
      </c>
      <c r="C66" s="63"/>
      <c r="D66" s="85">
        <f>+E21</f>
        <v>15</v>
      </c>
      <c r="E66" s="63">
        <f>+D47</f>
        <v>40</v>
      </c>
      <c r="F66" s="63">
        <f>+D66*E66*D$60*0.01</f>
        <v>540</v>
      </c>
      <c r="G66" s="63">
        <f>+F66*K$76</f>
        <v>16425</v>
      </c>
      <c r="H66" s="96">
        <f>+F66*K$73</f>
        <v>197100</v>
      </c>
      <c r="J66" s="7" t="s">
        <v>273</v>
      </c>
      <c r="K66" s="23">
        <v>31</v>
      </c>
    </row>
    <row r="67" spans="2:11">
      <c r="B67" s="97"/>
      <c r="C67" s="63"/>
      <c r="D67" s="85"/>
      <c r="E67" s="63"/>
      <c r="F67" s="28">
        <f>+SUM(F65:F66)</f>
        <v>1296</v>
      </c>
      <c r="G67" s="28">
        <f t="shared" ref="G67:H67" si="0">+SUM(G65:G66)</f>
        <v>39420</v>
      </c>
      <c r="H67" s="98">
        <f t="shared" si="0"/>
        <v>473040</v>
      </c>
      <c r="J67" s="7" t="s">
        <v>274</v>
      </c>
      <c r="K67" s="23">
        <v>30</v>
      </c>
    </row>
    <row r="68" spans="2:11">
      <c r="B68" s="99"/>
      <c r="C68" s="100"/>
      <c r="D68" s="101"/>
      <c r="E68" s="100"/>
      <c r="F68" s="102"/>
      <c r="G68" s="100"/>
      <c r="H68" s="103"/>
      <c r="J68" s="7" t="s">
        <v>275</v>
      </c>
      <c r="K68" s="23">
        <v>31</v>
      </c>
    </row>
    <row r="69" spans="2:11">
      <c r="B69" s="4" t="s">
        <v>431</v>
      </c>
      <c r="D69" s="40"/>
      <c r="J69" s="7" t="s">
        <v>276</v>
      </c>
      <c r="K69" s="23">
        <v>30</v>
      </c>
    </row>
    <row r="70" spans="2:11">
      <c r="B70" s="112"/>
      <c r="C70" s="93"/>
      <c r="D70" s="113"/>
      <c r="E70" s="114" t="s">
        <v>208</v>
      </c>
      <c r="F70" s="280" t="s">
        <v>429</v>
      </c>
      <c r="G70" s="280"/>
      <c r="H70" s="281"/>
      <c r="J70" s="7" t="s">
        <v>277</v>
      </c>
      <c r="K70" s="23">
        <v>31</v>
      </c>
    </row>
    <row r="71" spans="2:11">
      <c r="B71" s="115"/>
      <c r="C71" s="63"/>
      <c r="D71" s="109" t="s">
        <v>207</v>
      </c>
      <c r="E71" s="30" t="s">
        <v>26</v>
      </c>
      <c r="F71" s="30" t="s">
        <v>181</v>
      </c>
      <c r="G71" s="30" t="s">
        <v>44</v>
      </c>
      <c r="H71" s="96" t="s">
        <v>158</v>
      </c>
    </row>
    <row r="72" spans="2:11">
      <c r="B72" s="95" t="s">
        <v>206</v>
      </c>
      <c r="C72" s="63"/>
      <c r="D72" s="85">
        <f>+E29</f>
        <v>3</v>
      </c>
      <c r="E72" s="63">
        <f>+D52</f>
        <v>9</v>
      </c>
      <c r="F72" s="63">
        <f>+D72*E72*E33*E35*D$60*0.01</f>
        <v>97.2</v>
      </c>
      <c r="G72" s="63">
        <f>+F72*K76</f>
        <v>2956.5</v>
      </c>
      <c r="H72" s="96">
        <f>+F72*K73</f>
        <v>35478</v>
      </c>
      <c r="K72" s="7" t="s">
        <v>279</v>
      </c>
    </row>
    <row r="73" spans="2:11">
      <c r="B73" s="95" t="s">
        <v>209</v>
      </c>
      <c r="C73" s="63"/>
      <c r="D73" s="85">
        <f>+E30</f>
        <v>1</v>
      </c>
      <c r="E73" s="63">
        <f>+D51</f>
        <v>10</v>
      </c>
      <c r="F73" s="63">
        <f>+D73*E73*E33*E35*D60*0.01</f>
        <v>36</v>
      </c>
      <c r="G73" s="63">
        <f>+F73*K76</f>
        <v>1095</v>
      </c>
      <c r="H73" s="96">
        <f>+F73*K73</f>
        <v>13140</v>
      </c>
      <c r="K73" s="7">
        <f>+SUM(K59:K70)</f>
        <v>365</v>
      </c>
    </row>
    <row r="74" spans="2:11">
      <c r="B74" s="99"/>
      <c r="C74" s="100"/>
      <c r="D74" s="100"/>
      <c r="E74" s="100"/>
      <c r="F74" s="92">
        <f>+SUM(F72:F73)</f>
        <v>133.19999999999999</v>
      </c>
      <c r="G74" s="92">
        <f t="shared" ref="G74" si="1">+SUM(G72:G73)</f>
        <v>4051.5</v>
      </c>
      <c r="H74" s="111">
        <f t="shared" ref="H74" si="2">+SUM(H72:H73)</f>
        <v>48618</v>
      </c>
    </row>
    <row r="75" spans="2:11" ht="12.75" thickBot="1">
      <c r="F75" s="10"/>
      <c r="G75" s="10"/>
      <c r="H75" s="10"/>
      <c r="K75" s="7" t="s">
        <v>278</v>
      </c>
    </row>
    <row r="76" spans="2:11">
      <c r="B76" s="70"/>
      <c r="C76" s="18" t="s">
        <v>181</v>
      </c>
      <c r="D76" s="18" t="s">
        <v>44</v>
      </c>
      <c r="E76" s="36" t="s">
        <v>158</v>
      </c>
      <c r="K76" s="10">
        <f>+AVERAGE(K59:K70)</f>
        <v>30.416666666666668</v>
      </c>
    </row>
    <row r="77" spans="2:11" ht="12.75" thickBot="1">
      <c r="B77" s="71" t="s">
        <v>447</v>
      </c>
      <c r="C77" s="72">
        <f>+F67+F74</f>
        <v>1429.2</v>
      </c>
      <c r="D77" s="72">
        <f t="shared" ref="D77:E77" si="3">+G67+G74</f>
        <v>43471.5</v>
      </c>
      <c r="E77" s="73">
        <f t="shared" si="3"/>
        <v>521658</v>
      </c>
    </row>
    <row r="79" spans="2:11">
      <c r="D79" s="23" t="s">
        <v>174</v>
      </c>
    </row>
    <row r="80" spans="2:11">
      <c r="B80" s="4" t="s">
        <v>235</v>
      </c>
      <c r="D80" s="10">
        <v>2</v>
      </c>
      <c r="E80" s="3" t="s">
        <v>236</v>
      </c>
    </row>
    <row r="81" spans="5:5">
      <c r="E81" s="3" t="s">
        <v>237</v>
      </c>
    </row>
  </sheetData>
  <mergeCells count="2">
    <mergeCell ref="F63:H63"/>
    <mergeCell ref="F70:H7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X71"/>
  <sheetViews>
    <sheetView topLeftCell="A8" workbookViewId="0">
      <selection activeCell="J40" sqref="J40"/>
    </sheetView>
  </sheetViews>
  <sheetFormatPr baseColWidth="10" defaultRowHeight="12"/>
  <cols>
    <col min="1" max="1" width="2.28515625" style="1" customWidth="1"/>
    <col min="2" max="2" width="8.140625" style="2" customWidth="1"/>
    <col min="3" max="3" width="21.5703125" style="2" customWidth="1"/>
    <col min="4" max="4" width="14" style="1" customWidth="1"/>
    <col min="5" max="5" width="11.140625" style="1" customWidth="1"/>
    <col min="6" max="6" width="12.28515625" style="1" customWidth="1"/>
    <col min="7" max="7" width="12.5703125" style="1" customWidth="1"/>
    <col min="8" max="8" width="11.28515625" style="1" customWidth="1"/>
    <col min="9" max="9" width="8.7109375" style="1" customWidth="1"/>
    <col min="10" max="10" width="9.7109375" style="1" customWidth="1"/>
    <col min="11" max="11" width="12.5703125" style="1" customWidth="1"/>
    <col min="12" max="12" width="13.140625" style="1" hidden="1" customWidth="1"/>
    <col min="13" max="13" width="9.7109375" style="1" customWidth="1"/>
    <col min="14" max="15" width="2.85546875" style="1" customWidth="1"/>
    <col min="16" max="16" width="6.85546875" style="1" customWidth="1"/>
    <col min="17" max="17" width="8.28515625" style="1" customWidth="1"/>
    <col min="18" max="18" width="12.85546875" style="1" customWidth="1"/>
    <col min="19" max="19" width="13.42578125" style="1" customWidth="1"/>
    <col min="20" max="20" width="10.42578125" style="1" hidden="1" customWidth="1"/>
    <col min="21" max="21" width="8.85546875" style="1" hidden="1" customWidth="1"/>
    <col min="22" max="22" width="12.42578125" style="1" hidden="1" customWidth="1"/>
    <col min="23" max="23" width="8.28515625" style="1" customWidth="1"/>
    <col min="24" max="24" width="8.140625" style="1" customWidth="1"/>
    <col min="25" max="25" width="2.85546875" style="1" customWidth="1"/>
    <col min="26" max="16384" width="11.42578125" style="1"/>
  </cols>
  <sheetData>
    <row r="2" spans="2:5">
      <c r="B2" s="10" t="s">
        <v>228</v>
      </c>
      <c r="C2" s="2">
        <f>+'Pagos iniciales'!D3</f>
        <v>0.3</v>
      </c>
      <c r="D2" s="3" t="s">
        <v>229</v>
      </c>
    </row>
    <row r="4" spans="2:5">
      <c r="B4" s="10" t="s">
        <v>211</v>
      </c>
      <c r="C4" s="3" t="s">
        <v>212</v>
      </c>
    </row>
    <row r="5" spans="2:5">
      <c r="C5" s="3" t="s">
        <v>213</v>
      </c>
    </row>
    <row r="6" spans="2:5">
      <c r="C6" s="3" t="s">
        <v>214</v>
      </c>
    </row>
    <row r="7" spans="2:5">
      <c r="C7" s="3" t="s">
        <v>215</v>
      </c>
    </row>
    <row r="8" spans="2:5">
      <c r="C8" s="3" t="s">
        <v>216</v>
      </c>
    </row>
    <row r="9" spans="2:5">
      <c r="C9" s="3" t="s">
        <v>217</v>
      </c>
    </row>
    <row r="11" spans="2:5">
      <c r="E11" s="7" t="s">
        <v>10</v>
      </c>
    </row>
    <row r="12" spans="2:5">
      <c r="C12" s="4" t="s">
        <v>220</v>
      </c>
      <c r="E12" s="7"/>
    </row>
    <row r="13" spans="2:5">
      <c r="C13" s="4" t="s">
        <v>221</v>
      </c>
      <c r="E13" s="7">
        <f>+'Pagos iniciales'!E96</f>
        <v>75000</v>
      </c>
    </row>
    <row r="15" spans="2:5">
      <c r="C15" s="4" t="s">
        <v>222</v>
      </c>
    </row>
    <row r="16" spans="2:5">
      <c r="C16" s="4" t="s">
        <v>223</v>
      </c>
      <c r="E16" s="7">
        <f>-'Pagos iniciales'!E95</f>
        <v>-1714696.8</v>
      </c>
    </row>
    <row r="17" spans="2:24">
      <c r="E17" s="7" t="s">
        <v>10</v>
      </c>
    </row>
    <row r="18" spans="2:24">
      <c r="E18" s="10">
        <f>+E13+E16</f>
        <v>-1639696.8</v>
      </c>
      <c r="F18" s="3" t="s">
        <v>224</v>
      </c>
      <c r="G18" s="3"/>
    </row>
    <row r="19" spans="2:24">
      <c r="E19" s="10"/>
      <c r="F19" s="3"/>
      <c r="G19" s="3"/>
    </row>
    <row r="20" spans="2:24">
      <c r="E20" s="10"/>
      <c r="F20" s="7" t="s">
        <v>282</v>
      </c>
      <c r="G20" s="3"/>
    </row>
    <row r="21" spans="2:24">
      <c r="B21" s="3" t="s">
        <v>281</v>
      </c>
      <c r="E21" s="10"/>
      <c r="F21" s="10">
        <f>+'negativo hipótesis'!D61</f>
        <v>10</v>
      </c>
      <c r="G21" s="3"/>
    </row>
    <row r="22" spans="2:24">
      <c r="E22" s="10"/>
      <c r="F22" s="3"/>
      <c r="G22" s="3"/>
    </row>
    <row r="23" spans="2:24" ht="12.75" thickBot="1">
      <c r="E23" s="10"/>
      <c r="F23" s="3"/>
      <c r="G23" s="3"/>
    </row>
    <row r="24" spans="2:24">
      <c r="B24" s="35"/>
      <c r="C24" s="22"/>
      <c r="D24" s="17"/>
      <c r="E24" s="77"/>
      <c r="F24" s="33"/>
      <c r="G24" s="33"/>
      <c r="H24" s="17"/>
      <c r="I24" s="17"/>
      <c r="J24" s="17"/>
      <c r="K24" s="17"/>
      <c r="L24" s="17"/>
      <c r="M24" s="78"/>
      <c r="P24" s="196"/>
      <c r="Q24" s="276" t="s">
        <v>234</v>
      </c>
      <c r="R24" s="276"/>
      <c r="S24" s="276"/>
      <c r="T24" s="276"/>
      <c r="U24" s="276"/>
      <c r="V24" s="276"/>
      <c r="W24" s="276"/>
      <c r="X24" s="277"/>
    </row>
    <row r="25" spans="2:24">
      <c r="B25" s="79"/>
      <c r="C25" s="269" t="s">
        <v>234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75"/>
      <c r="P25" s="197" t="s">
        <v>14</v>
      </c>
      <c r="Q25" s="30"/>
      <c r="R25" s="30"/>
      <c r="S25" s="28"/>
      <c r="T25" s="30"/>
      <c r="U25" s="30"/>
      <c r="V25" s="59"/>
      <c r="W25" s="28"/>
      <c r="X25" s="98"/>
    </row>
    <row r="26" spans="2:24">
      <c r="B26" s="80" t="s">
        <v>14</v>
      </c>
      <c r="C26" s="30"/>
      <c r="D26" s="30"/>
      <c r="E26" s="28" t="s">
        <v>226</v>
      </c>
      <c r="F26" s="30"/>
      <c r="G26" s="30"/>
      <c r="H26" s="28" t="s">
        <v>226</v>
      </c>
      <c r="I26" s="30"/>
      <c r="J26" s="28" t="s">
        <v>226</v>
      </c>
      <c r="K26" s="30"/>
      <c r="L26" s="30" t="s">
        <v>232</v>
      </c>
      <c r="M26" s="64"/>
      <c r="P26" s="133" t="s">
        <v>71</v>
      </c>
      <c r="Q26" s="30" t="s">
        <v>256</v>
      </c>
      <c r="R26" s="47" t="s">
        <v>257</v>
      </c>
      <c r="S26" s="28" t="s">
        <v>258</v>
      </c>
      <c r="T26" s="30" t="s">
        <v>233</v>
      </c>
      <c r="U26" s="30" t="s">
        <v>259</v>
      </c>
      <c r="V26" s="28" t="s">
        <v>260</v>
      </c>
      <c r="W26" s="28" t="s">
        <v>261</v>
      </c>
      <c r="X26" s="203" t="s">
        <v>262</v>
      </c>
    </row>
    <row r="27" spans="2:24">
      <c r="B27" s="81" t="s">
        <v>71</v>
      </c>
      <c r="C27" s="28" t="s">
        <v>280</v>
      </c>
      <c r="D27" s="28" t="s">
        <v>252</v>
      </c>
      <c r="E27" s="82" t="s">
        <v>227</v>
      </c>
      <c r="F27" s="87" t="s">
        <v>710</v>
      </c>
      <c r="G27" s="30"/>
      <c r="H27" s="82" t="s">
        <v>231</v>
      </c>
      <c r="I27" s="30" t="s">
        <v>254</v>
      </c>
      <c r="J27" s="82" t="s">
        <v>230</v>
      </c>
      <c r="K27" s="30" t="s">
        <v>710</v>
      </c>
      <c r="L27" s="30" t="s">
        <v>253</v>
      </c>
      <c r="M27" s="64" t="s">
        <v>255</v>
      </c>
      <c r="P27" s="134">
        <v>0</v>
      </c>
      <c r="Q27" s="30">
        <v>0</v>
      </c>
      <c r="R27" s="30">
        <v>0</v>
      </c>
      <c r="S27" s="28">
        <f>+Q27+R27</f>
        <v>0</v>
      </c>
      <c r="T27" s="30">
        <v>0</v>
      </c>
      <c r="U27" s="30">
        <v>0</v>
      </c>
      <c r="V27" s="28">
        <f>+T27+U27</f>
        <v>0</v>
      </c>
      <c r="W27" s="28">
        <f>+S27-V27</f>
        <v>0</v>
      </c>
      <c r="X27" s="204"/>
    </row>
    <row r="28" spans="2:24">
      <c r="B28" s="83">
        <v>1</v>
      </c>
      <c r="C28" s="30">
        <f>+'negativo hipótesis'!E77*Inflación!D12/('negativo hipótesis'!D60*0.01)</f>
        <v>591212.4</v>
      </c>
      <c r="D28" s="30">
        <f>(-Gastos!E10-Gastos!E17-Gastos!E51-Gastos!E55-Gastos!E67-Gastos!D103-Gastos!E106)*12*Inflación!D12</f>
        <v>-565916.4</v>
      </c>
      <c r="E28" s="28">
        <f>+C28+D28</f>
        <v>25296</v>
      </c>
      <c r="F28" s="30">
        <f>-Gastos!E$81-Gastos!D$91</f>
        <v>-88400</v>
      </c>
      <c r="G28" s="30"/>
      <c r="H28" s="28">
        <f>+E28+F28+G28</f>
        <v>-63104</v>
      </c>
      <c r="I28" s="48">
        <f>-H28*C2</f>
        <v>18931.2</v>
      </c>
      <c r="J28" s="28">
        <f t="shared" ref="J28:J31" si="0">+H28+I28</f>
        <v>-44172.800000000003</v>
      </c>
      <c r="K28" s="30">
        <f>-F28</f>
        <v>88400</v>
      </c>
      <c r="L28" s="30">
        <f>-G28</f>
        <v>0</v>
      </c>
      <c r="M28" s="64">
        <f>+J28+K28+L28</f>
        <v>44227.199999999997</v>
      </c>
      <c r="P28" s="134">
        <v>1</v>
      </c>
      <c r="Q28" s="30">
        <v>0</v>
      </c>
      <c r="R28" s="30">
        <f>+F$21*0.01*C28</f>
        <v>59121.240000000005</v>
      </c>
      <c r="S28" s="28">
        <f t="shared" ref="S28:S31" si="1">+Q28+R28</f>
        <v>59121.240000000005</v>
      </c>
      <c r="T28" s="30">
        <v>0</v>
      </c>
      <c r="U28" s="30">
        <v>0</v>
      </c>
      <c r="V28" s="28">
        <f t="shared" ref="V28:V31" si="2">+T28+U28</f>
        <v>0</v>
      </c>
      <c r="W28" s="28">
        <f t="shared" ref="W28:W31" si="3">+S28-V28</f>
        <v>59121.240000000005</v>
      </c>
      <c r="X28" s="98">
        <f>+W28-W27</f>
        <v>59121.240000000005</v>
      </c>
    </row>
    <row r="29" spans="2:24">
      <c r="B29" s="83">
        <v>2</v>
      </c>
      <c r="C29" s="30">
        <f>+C28*(1+'negativo hipótesis'!D$80*0.01)*Inflación!D13</f>
        <v>615097.3809600001</v>
      </c>
      <c r="D29" s="30">
        <f>+D28*Inflación!D13</f>
        <v>-577234.728</v>
      </c>
      <c r="E29" s="28">
        <f t="shared" ref="E29:E31" si="4">+C29+D29</f>
        <v>37862.652960000094</v>
      </c>
      <c r="F29" s="30">
        <f>-Gastos!E$81-Gastos!D$91</f>
        <v>-88400</v>
      </c>
      <c r="G29" s="30"/>
      <c r="H29" s="28">
        <f t="shared" ref="H29:H31" si="5">+E29+F29+G29</f>
        <v>-50537.347039999906</v>
      </c>
      <c r="I29" s="30">
        <f t="shared" ref="I29:I31" si="6">-H29*C$2</f>
        <v>15161.20411199997</v>
      </c>
      <c r="J29" s="28">
        <f t="shared" si="0"/>
        <v>-35376.142927999936</v>
      </c>
      <c r="K29" s="30">
        <f t="shared" ref="K29:L31" si="7">-F29</f>
        <v>88400</v>
      </c>
      <c r="L29" s="30">
        <f t="shared" si="7"/>
        <v>0</v>
      </c>
      <c r="M29" s="64">
        <f t="shared" ref="M29:M31" si="8">+J29+K29+L29</f>
        <v>53023.857072000064</v>
      </c>
      <c r="P29" s="134">
        <v>2</v>
      </c>
      <c r="Q29" s="30">
        <v>0</v>
      </c>
      <c r="R29" s="30">
        <f t="shared" ref="R29:R31" si="9">+F$21*0.01*C29</f>
        <v>61509.738096000016</v>
      </c>
      <c r="S29" s="28">
        <f t="shared" si="1"/>
        <v>61509.738096000016</v>
      </c>
      <c r="T29" s="30">
        <v>0</v>
      </c>
      <c r="U29" s="30">
        <v>0</v>
      </c>
      <c r="V29" s="28">
        <f t="shared" si="2"/>
        <v>0</v>
      </c>
      <c r="W29" s="28">
        <f t="shared" si="3"/>
        <v>61509.738096000016</v>
      </c>
      <c r="X29" s="98">
        <f t="shared" ref="X29:X31" si="10">+W29-W28</f>
        <v>2388.4980960000103</v>
      </c>
    </row>
    <row r="30" spans="2:24">
      <c r="B30" s="83">
        <v>3</v>
      </c>
      <c r="C30" s="30">
        <f>+C29*(1+'negativo hipótesis'!D$80*0.01)*Inflación!D14</f>
        <v>639947.3151507841</v>
      </c>
      <c r="D30" s="30">
        <f>+D29*Inflación!D14</f>
        <v>-588779.42255999998</v>
      </c>
      <c r="E30" s="28">
        <f t="shared" si="4"/>
        <v>51167.892590784119</v>
      </c>
      <c r="F30" s="30">
        <f>-Gastos!E$81-Gastos!D$91</f>
        <v>-88400</v>
      </c>
      <c r="G30" s="30"/>
      <c r="H30" s="28">
        <f t="shared" si="5"/>
        <v>-37232.107409215881</v>
      </c>
      <c r="I30" s="30">
        <f t="shared" si="6"/>
        <v>11169.632222764763</v>
      </c>
      <c r="J30" s="28">
        <f t="shared" si="0"/>
        <v>-26062.47518645112</v>
      </c>
      <c r="K30" s="30">
        <f t="shared" si="7"/>
        <v>88400</v>
      </c>
      <c r="L30" s="30">
        <f t="shared" si="7"/>
        <v>0</v>
      </c>
      <c r="M30" s="64">
        <f t="shared" si="8"/>
        <v>62337.52481354888</v>
      </c>
      <c r="P30" s="134">
        <v>3</v>
      </c>
      <c r="Q30" s="30">
        <v>0</v>
      </c>
      <c r="R30" s="30">
        <f t="shared" si="9"/>
        <v>63994.731515078412</v>
      </c>
      <c r="S30" s="28">
        <f t="shared" si="1"/>
        <v>63994.731515078412</v>
      </c>
      <c r="T30" s="30">
        <v>0</v>
      </c>
      <c r="U30" s="30">
        <v>0</v>
      </c>
      <c r="V30" s="28">
        <f t="shared" si="2"/>
        <v>0</v>
      </c>
      <c r="W30" s="28">
        <f t="shared" si="3"/>
        <v>63994.731515078412</v>
      </c>
      <c r="X30" s="98">
        <f t="shared" si="10"/>
        <v>2484.993419078397</v>
      </c>
    </row>
    <row r="31" spans="2:24" ht="12.75" thickBot="1">
      <c r="B31" s="84">
        <v>4</v>
      </c>
      <c r="C31" s="21">
        <f>+C30*(1+'negativo hipótesis'!D$80*0.01)*Inflación!D15</f>
        <v>665801.18668287585</v>
      </c>
      <c r="D31" s="21">
        <f>+D30*Inflación!D15</f>
        <v>-600555.01101120003</v>
      </c>
      <c r="E31" s="26">
        <f t="shared" si="4"/>
        <v>65246.175671675825</v>
      </c>
      <c r="F31" s="21">
        <f>-Gastos!E$81-Gastos!D$91</f>
        <v>-88400</v>
      </c>
      <c r="G31" s="21"/>
      <c r="H31" s="26">
        <f t="shared" si="5"/>
        <v>-23153.824328324175</v>
      </c>
      <c r="I31" s="21">
        <f t="shared" si="6"/>
        <v>6946.1472984972525</v>
      </c>
      <c r="J31" s="26">
        <f t="shared" si="0"/>
        <v>-16207.677029826922</v>
      </c>
      <c r="K31" s="21">
        <f t="shared" si="7"/>
        <v>88400</v>
      </c>
      <c r="L31" s="21">
        <f t="shared" si="7"/>
        <v>0</v>
      </c>
      <c r="M31" s="38">
        <f t="shared" si="8"/>
        <v>72192.322970173074</v>
      </c>
      <c r="P31" s="135">
        <v>4</v>
      </c>
      <c r="Q31" s="224">
        <v>0</v>
      </c>
      <c r="R31" s="224">
        <f t="shared" si="9"/>
        <v>66580.118668287585</v>
      </c>
      <c r="S31" s="223">
        <f t="shared" si="1"/>
        <v>66580.118668287585</v>
      </c>
      <c r="T31" s="224">
        <v>0</v>
      </c>
      <c r="U31" s="224">
        <v>0</v>
      </c>
      <c r="V31" s="223">
        <f t="shared" si="2"/>
        <v>0</v>
      </c>
      <c r="W31" s="252">
        <f t="shared" si="3"/>
        <v>66580.118668287585</v>
      </c>
      <c r="X31" s="111">
        <f t="shared" si="10"/>
        <v>2585.3871532091725</v>
      </c>
    </row>
    <row r="32" spans="2:24">
      <c r="B32" s="1"/>
      <c r="C32" s="1"/>
    </row>
    <row r="33" spans="2:7">
      <c r="B33" s="1"/>
    </row>
    <row r="34" spans="2:7">
      <c r="B34" s="1"/>
      <c r="C34" s="196"/>
      <c r="D34" s="278" t="s">
        <v>433</v>
      </c>
      <c r="E34" s="278"/>
      <c r="F34" s="278"/>
      <c r="G34" s="279"/>
    </row>
    <row r="35" spans="2:7">
      <c r="B35" s="1"/>
      <c r="C35" s="97"/>
      <c r="D35" s="94" t="s">
        <v>408</v>
      </c>
      <c r="E35" s="94" t="s">
        <v>407</v>
      </c>
      <c r="F35" s="94" t="s">
        <v>409</v>
      </c>
      <c r="G35" s="186" t="s">
        <v>410</v>
      </c>
    </row>
    <row r="36" spans="2:7">
      <c r="C36" s="133" t="s">
        <v>411</v>
      </c>
      <c r="D36" s="30">
        <f>+C28</f>
        <v>591212.4</v>
      </c>
      <c r="E36" s="30">
        <f>+C29</f>
        <v>615097.3809600001</v>
      </c>
      <c r="F36" s="30">
        <f>+C30</f>
        <v>639947.3151507841</v>
      </c>
      <c r="G36" s="96">
        <f>+C31</f>
        <v>665801.18668287585</v>
      </c>
    </row>
    <row r="37" spans="2:7">
      <c r="B37" s="1"/>
      <c r="C37" s="133" t="s">
        <v>412</v>
      </c>
      <c r="D37" s="30">
        <f>+D28</f>
        <v>-565916.4</v>
      </c>
      <c r="E37" s="30">
        <f>-D29*-1</f>
        <v>-577234.728</v>
      </c>
      <c r="F37" s="30">
        <f>+D30</f>
        <v>-588779.42255999998</v>
      </c>
      <c r="G37" s="96">
        <f>+D31</f>
        <v>-600555.01101120003</v>
      </c>
    </row>
    <row r="38" spans="2:7">
      <c r="B38" s="1"/>
      <c r="C38" s="95" t="s">
        <v>413</v>
      </c>
      <c r="D38" s="30">
        <f>+F28</f>
        <v>-88400</v>
      </c>
      <c r="E38" s="30">
        <f>+F29</f>
        <v>-88400</v>
      </c>
      <c r="F38" s="30">
        <f>+F30</f>
        <v>-88400</v>
      </c>
      <c r="G38" s="96">
        <f>+F31</f>
        <v>-88400</v>
      </c>
    </row>
    <row r="39" spans="2:7" hidden="1">
      <c r="B39" s="1"/>
      <c r="C39" s="133" t="s">
        <v>414</v>
      </c>
      <c r="D39" s="30">
        <v>0</v>
      </c>
      <c r="E39" s="30">
        <v>0</v>
      </c>
      <c r="F39" s="30">
        <v>0</v>
      </c>
      <c r="G39" s="96">
        <v>0</v>
      </c>
    </row>
    <row r="40" spans="2:7">
      <c r="B40" s="1"/>
      <c r="C40" s="197" t="s">
        <v>435</v>
      </c>
      <c r="D40" s="28">
        <f>+SUM(D36:D39)</f>
        <v>-63104</v>
      </c>
      <c r="E40" s="28">
        <f t="shared" ref="E40:G40" si="11">+SUM(E36:E39)</f>
        <v>-50537.347039999906</v>
      </c>
      <c r="F40" s="28">
        <f t="shared" si="11"/>
        <v>-37232.107409215881</v>
      </c>
      <c r="G40" s="98">
        <f t="shared" si="11"/>
        <v>-23153.824328324175</v>
      </c>
    </row>
    <row r="41" spans="2:7">
      <c r="B41" s="1"/>
      <c r="C41" s="133" t="s">
        <v>416</v>
      </c>
      <c r="D41" s="30">
        <f>-D40*C2</f>
        <v>18931.2</v>
      </c>
      <c r="E41" s="30">
        <f>-E40*C2</f>
        <v>15161.20411199997</v>
      </c>
      <c r="F41" s="30">
        <f>-F40*C2</f>
        <v>11169.632222764763</v>
      </c>
      <c r="G41" s="96">
        <f>+G40*C2*-1</f>
        <v>6946.1472984972525</v>
      </c>
    </row>
    <row r="42" spans="2:7">
      <c r="B42" s="1"/>
      <c r="C42" s="197" t="s">
        <v>436</v>
      </c>
      <c r="D42" s="28">
        <f>+D40+D41</f>
        <v>-44172.800000000003</v>
      </c>
      <c r="E42" s="28">
        <f t="shared" ref="E42:G42" si="12">+E40+E41</f>
        <v>-35376.142927999936</v>
      </c>
      <c r="F42" s="28">
        <f t="shared" si="12"/>
        <v>-26062.47518645112</v>
      </c>
      <c r="G42" s="98">
        <f t="shared" si="12"/>
        <v>-16207.677029826922</v>
      </c>
    </row>
    <row r="43" spans="2:7">
      <c r="B43" s="1"/>
      <c r="C43" s="133" t="s">
        <v>417</v>
      </c>
      <c r="D43" s="30">
        <f>-D38</f>
        <v>88400</v>
      </c>
      <c r="E43" s="30">
        <f t="shared" ref="E43:G43" si="13">-E38</f>
        <v>88400</v>
      </c>
      <c r="F43" s="30">
        <f t="shared" si="13"/>
        <v>88400</v>
      </c>
      <c r="G43" s="96">
        <f t="shared" si="13"/>
        <v>88400</v>
      </c>
    </row>
    <row r="44" spans="2:7" hidden="1">
      <c r="B44" s="1"/>
      <c r="C44" s="133" t="s">
        <v>414</v>
      </c>
      <c r="D44" s="30">
        <v>0</v>
      </c>
      <c r="E44" s="30">
        <v>0</v>
      </c>
      <c r="F44" s="30">
        <v>0</v>
      </c>
      <c r="G44" s="96">
        <v>0</v>
      </c>
    </row>
    <row r="45" spans="2:7">
      <c r="B45" s="1"/>
      <c r="C45" s="197" t="s">
        <v>419</v>
      </c>
      <c r="D45" s="30">
        <f>+D42+D43+D44</f>
        <v>44227.199999999997</v>
      </c>
      <c r="E45" s="30">
        <f>+E42+E43+E44</f>
        <v>53023.857072000064</v>
      </c>
      <c r="F45" s="30">
        <f>+F42+F43+F44</f>
        <v>62337.52481354888</v>
      </c>
      <c r="G45" s="96">
        <f>+G42+G43+G44</f>
        <v>72192.322970173074</v>
      </c>
    </row>
    <row r="46" spans="2:7">
      <c r="B46" s="1"/>
      <c r="C46" s="198" t="s">
        <v>418</v>
      </c>
      <c r="D46" s="30">
        <f>+X28</f>
        <v>59121.240000000005</v>
      </c>
      <c r="E46" s="30">
        <f>+X29</f>
        <v>2388.4980960000103</v>
      </c>
      <c r="F46" s="30">
        <f>+X30</f>
        <v>2484.993419078397</v>
      </c>
      <c r="G46" s="96">
        <f>+X31</f>
        <v>2585.3871532091725</v>
      </c>
    </row>
    <row r="47" spans="2:7">
      <c r="C47" s="199" t="s">
        <v>434</v>
      </c>
      <c r="D47" s="146">
        <f>+D45-D46</f>
        <v>-14894.040000000008</v>
      </c>
      <c r="E47" s="146">
        <f t="shared" ref="E47:G47" si="14">+E45-E46</f>
        <v>50635.358976000054</v>
      </c>
      <c r="F47" s="146">
        <f t="shared" si="14"/>
        <v>59852.531394470483</v>
      </c>
      <c r="G47" s="111">
        <f t="shared" si="14"/>
        <v>69606.935816963902</v>
      </c>
    </row>
    <row r="49" spans="2:4">
      <c r="B49" s="208" t="s">
        <v>420</v>
      </c>
      <c r="C49" s="209"/>
      <c r="D49" s="201"/>
    </row>
    <row r="50" spans="2:4">
      <c r="B50" s="190"/>
      <c r="C50" s="86"/>
      <c r="D50" s="96" t="s">
        <v>7</v>
      </c>
    </row>
    <row r="51" spans="2:4">
      <c r="B51" s="95" t="s">
        <v>421</v>
      </c>
      <c r="C51" s="86"/>
      <c r="D51" s="98">
        <f>+W31</f>
        <v>66580.118668287585</v>
      </c>
    </row>
    <row r="52" spans="2:4">
      <c r="B52" s="95" t="s">
        <v>422</v>
      </c>
      <c r="C52" s="86"/>
      <c r="D52" s="96">
        <f>+'Pagos iniciales'!F9*'Pagos iniciales'!F17-Gastos!G79*'neutral valoracion'!D19</f>
        <v>686400</v>
      </c>
    </row>
    <row r="53" spans="2:4">
      <c r="B53" s="95" t="s">
        <v>423</v>
      </c>
      <c r="C53" s="86"/>
      <c r="D53" s="96">
        <f>+'Pagos iniciales'!F8*'Pagos iniciales'!F16-Gastos!G80*'neutral valoracion'!D19</f>
        <v>176000</v>
      </c>
    </row>
    <row r="54" spans="2:4">
      <c r="B54" s="190" t="s">
        <v>424</v>
      </c>
      <c r="C54" s="86"/>
      <c r="D54" s="98">
        <f>+D52</f>
        <v>686400</v>
      </c>
    </row>
    <row r="55" spans="2:4">
      <c r="B55" s="190" t="s">
        <v>425</v>
      </c>
      <c r="C55" s="86"/>
      <c r="D55" s="98">
        <f>+D53</f>
        <v>176000</v>
      </c>
    </row>
    <row r="56" spans="2:4">
      <c r="B56" s="97"/>
      <c r="C56" s="86"/>
      <c r="D56" s="204"/>
    </row>
    <row r="57" spans="2:4">
      <c r="B57" s="191" t="s">
        <v>426</v>
      </c>
      <c r="C57" s="102"/>
      <c r="D57" s="194">
        <f>+D55+D54+D51</f>
        <v>928980.11866828753</v>
      </c>
    </row>
    <row r="59" spans="2:4">
      <c r="B59" s="4" t="s">
        <v>427</v>
      </c>
    </row>
    <row r="60" spans="2:4">
      <c r="C60" s="196"/>
      <c r="D60" s="186" t="s">
        <v>234</v>
      </c>
    </row>
    <row r="61" spans="2:4">
      <c r="C61" s="197" t="s">
        <v>71</v>
      </c>
      <c r="D61" s="98" t="s">
        <v>428</v>
      </c>
    </row>
    <row r="62" spans="2:4">
      <c r="C62" s="134">
        <v>1</v>
      </c>
      <c r="D62" s="96">
        <f>+D47</f>
        <v>-14894.040000000008</v>
      </c>
    </row>
    <row r="63" spans="2:4">
      <c r="C63" s="134">
        <v>2</v>
      </c>
      <c r="D63" s="96">
        <f>+E47</f>
        <v>50635.358976000054</v>
      </c>
    </row>
    <row r="64" spans="2:4">
      <c r="C64" s="134">
        <v>3</v>
      </c>
      <c r="D64" s="96">
        <f>+F47</f>
        <v>59852.531394470483</v>
      </c>
    </row>
    <row r="65" spans="2:4">
      <c r="C65" s="135">
        <v>4</v>
      </c>
      <c r="D65" s="138">
        <f>+G47+D57</f>
        <v>998587.05448525143</v>
      </c>
    </row>
    <row r="66" spans="2:4">
      <c r="C66" s="10" t="s">
        <v>100</v>
      </c>
    </row>
    <row r="67" spans="2:4">
      <c r="B67" s="10" t="s">
        <v>291</v>
      </c>
      <c r="C67" s="7">
        <v>1.6</v>
      </c>
    </row>
    <row r="68" spans="2:4">
      <c r="C68" s="7" t="s">
        <v>10</v>
      </c>
    </row>
    <row r="69" spans="2:4" ht="13.5">
      <c r="B69" s="25" t="s">
        <v>333</v>
      </c>
      <c r="C69" s="10">
        <f>+NPV(C67/100,D62:D65)</f>
        <v>1028617.0581520729</v>
      </c>
    </row>
    <row r="70" spans="2:4">
      <c r="C70" s="7" t="s">
        <v>10</v>
      </c>
    </row>
    <row r="71" spans="2:4">
      <c r="B71" s="25" t="s">
        <v>295</v>
      </c>
      <c r="C71" s="10">
        <f>+C69+E18</f>
        <v>-611079.7418479271</v>
      </c>
    </row>
  </sheetData>
  <mergeCells count="3">
    <mergeCell ref="Q24:X24"/>
    <mergeCell ref="C25:M25"/>
    <mergeCell ref="D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117"/>
  <sheetViews>
    <sheetView topLeftCell="A58" workbookViewId="0">
      <selection activeCell="C117" sqref="C117"/>
    </sheetView>
  </sheetViews>
  <sheetFormatPr baseColWidth="10" defaultRowHeight="12"/>
  <cols>
    <col min="1" max="1" width="2.140625" style="1" customWidth="1"/>
    <col min="2" max="2" width="13.7109375" style="1" customWidth="1"/>
    <col min="3" max="3" width="19.7109375" style="1" bestFit="1" customWidth="1"/>
    <col min="4" max="4" width="11.42578125" style="1"/>
    <col min="5" max="5" width="2.28515625" style="29" customWidth="1"/>
    <col min="6" max="6" width="22.42578125" style="1" bestFit="1" customWidth="1"/>
    <col min="7" max="7" width="17.42578125" style="29" bestFit="1" customWidth="1"/>
    <col min="8" max="8" width="11.42578125" style="1"/>
    <col min="9" max="9" width="3.42578125" style="1" customWidth="1"/>
    <col min="10" max="10" width="27.28515625" style="1" bestFit="1" customWidth="1"/>
    <col min="11" max="11" width="17.42578125" style="1" bestFit="1" customWidth="1"/>
    <col min="12" max="12" width="2.28515625" style="29" customWidth="1"/>
    <col min="13" max="13" width="11.42578125" style="1"/>
    <col min="14" max="14" width="2.28515625" style="29" customWidth="1"/>
    <col min="15" max="15" width="11.42578125" style="1"/>
    <col min="16" max="16" width="2.140625" style="1" customWidth="1"/>
    <col min="17" max="17" width="29.140625" style="1" customWidth="1"/>
    <col min="18" max="16384" width="11.42578125" style="1"/>
  </cols>
  <sheetData>
    <row r="3" spans="3:20">
      <c r="D3" s="269" t="s">
        <v>617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618</v>
      </c>
      <c r="G4" s="30"/>
      <c r="H4" s="7" t="s">
        <v>619</v>
      </c>
      <c r="J4" s="8" t="s">
        <v>454</v>
      </c>
      <c r="K4" s="7" t="s">
        <v>452</v>
      </c>
      <c r="L4" s="30"/>
      <c r="M4" s="7" t="s">
        <v>618</v>
      </c>
      <c r="N4" s="30"/>
      <c r="O4" s="7" t="s">
        <v>619</v>
      </c>
      <c r="Q4" s="7" t="s">
        <v>620</v>
      </c>
      <c r="R4" s="7" t="str">
        <f>+O4</f>
        <v>año 2011</v>
      </c>
      <c r="S4" s="7" t="str">
        <f>+M4</f>
        <v>año 2012</v>
      </c>
      <c r="T4" s="7" t="str">
        <f>+K4</f>
        <v>año 2015</v>
      </c>
    </row>
    <row r="5" spans="3:20">
      <c r="C5" s="8" t="s">
        <v>455</v>
      </c>
      <c r="D5" s="10">
        <f>+SUM(D6:D8)</f>
        <v>23849955</v>
      </c>
      <c r="F5" s="9">
        <f>+SUM(F6:F8)</f>
        <v>24039496</v>
      </c>
      <c r="H5" s="9">
        <f>+SUM(H6:H8)</f>
        <v>22029189</v>
      </c>
      <c r="J5" s="8" t="s">
        <v>456</v>
      </c>
      <c r="K5" s="25">
        <f>+K6</f>
        <v>12936999</v>
      </c>
      <c r="M5" s="25">
        <f>+M6</f>
        <v>79162</v>
      </c>
      <c r="O5" s="25">
        <f>+O6</f>
        <v>-381408</v>
      </c>
      <c r="Q5" s="9" t="s">
        <v>457</v>
      </c>
      <c r="R5" s="6">
        <f>+O5+O10-H5</f>
        <v>-20553455</v>
      </c>
      <c r="S5" s="6">
        <f>+M6+M10-F5</f>
        <v>6814507</v>
      </c>
      <c r="T5" s="7">
        <f>+K5+K10-D5</f>
        <v>2336315</v>
      </c>
    </row>
    <row r="6" spans="3:20">
      <c r="C6" s="6" t="s">
        <v>458</v>
      </c>
      <c r="D6" s="7">
        <v>43571</v>
      </c>
      <c r="F6" s="7">
        <v>11182</v>
      </c>
      <c r="H6" s="7">
        <v>32267</v>
      </c>
      <c r="J6" s="9" t="s">
        <v>459</v>
      </c>
      <c r="K6" s="10">
        <f>+K7+K8</f>
        <v>12936999</v>
      </c>
      <c r="M6" s="10">
        <f>+M7+M8</f>
        <v>79162</v>
      </c>
      <c r="O6" s="10">
        <f>+O7+O8</f>
        <v>-381408</v>
      </c>
      <c r="Q6" s="3" t="s">
        <v>621</v>
      </c>
    </row>
    <row r="7" spans="3:20">
      <c r="C7" s="6" t="s">
        <v>461</v>
      </c>
      <c r="D7" s="7">
        <v>21955965</v>
      </c>
      <c r="F7" s="7">
        <v>20493012</v>
      </c>
      <c r="H7" s="6">
        <v>18325932</v>
      </c>
      <c r="J7" s="6" t="s">
        <v>462</v>
      </c>
      <c r="K7" s="7">
        <v>1874437</v>
      </c>
      <c r="M7" s="6">
        <v>1874437</v>
      </c>
      <c r="O7" s="7">
        <v>1874437</v>
      </c>
      <c r="Q7" s="6" t="s">
        <v>585</v>
      </c>
    </row>
    <row r="8" spans="3:20">
      <c r="C8" s="6" t="s">
        <v>464</v>
      </c>
      <c r="D8" s="7">
        <v>1850419</v>
      </c>
      <c r="F8" s="7">
        <v>3535302</v>
      </c>
      <c r="H8" s="7">
        <v>3670990</v>
      </c>
      <c r="J8" s="6" t="s">
        <v>465</v>
      </c>
      <c r="K8" s="7">
        <v>11062562</v>
      </c>
      <c r="M8" s="6">
        <v>-1795275</v>
      </c>
      <c r="O8" s="7">
        <v>-2255845</v>
      </c>
      <c r="Q8" s="6" t="s">
        <v>586</v>
      </c>
    </row>
    <row r="9" spans="3:20">
      <c r="Q9" s="6" t="s">
        <v>587</v>
      </c>
    </row>
    <row r="10" spans="3:20">
      <c r="J10" s="8" t="s">
        <v>468</v>
      </c>
      <c r="K10" s="25">
        <f>+K11+K12</f>
        <v>13249271</v>
      </c>
      <c r="M10" s="25">
        <f>+M11+M12</f>
        <v>30774841</v>
      </c>
      <c r="O10" s="25">
        <f>+O11+O12</f>
        <v>1857142</v>
      </c>
      <c r="Q10" s="6" t="s">
        <v>588</v>
      </c>
    </row>
    <row r="11" spans="3:20">
      <c r="C11" s="8" t="s">
        <v>469</v>
      </c>
      <c r="D11" s="10">
        <f>+SUM(D12:D15)</f>
        <v>6229410</v>
      </c>
      <c r="F11" s="10">
        <f>+SUM(F12:F15)</f>
        <v>7744813</v>
      </c>
      <c r="H11" s="10">
        <f>+SUM(H12:H15)</f>
        <v>9227010</v>
      </c>
      <c r="J11" s="6" t="s">
        <v>470</v>
      </c>
      <c r="K11" s="7">
        <v>13232106</v>
      </c>
      <c r="M11" s="7">
        <v>30754243</v>
      </c>
      <c r="O11" s="7">
        <v>1857142</v>
      </c>
      <c r="Q11" s="6" t="s">
        <v>589</v>
      </c>
    </row>
    <row r="12" spans="3:20">
      <c r="C12" s="6" t="s">
        <v>472</v>
      </c>
      <c r="D12" s="7">
        <v>134729</v>
      </c>
      <c r="F12" s="7">
        <v>160782</v>
      </c>
      <c r="H12" s="7">
        <v>130085</v>
      </c>
      <c r="J12" s="6" t="s">
        <v>473</v>
      </c>
      <c r="K12" s="7">
        <v>17165</v>
      </c>
      <c r="M12" s="7">
        <v>20598</v>
      </c>
      <c r="O12" s="7">
        <v>0</v>
      </c>
      <c r="Q12" s="6" t="s">
        <v>590</v>
      </c>
    </row>
    <row r="13" spans="3:20">
      <c r="C13" s="6" t="s">
        <v>475</v>
      </c>
      <c r="D13" s="7"/>
      <c r="Q13" s="6" t="s">
        <v>622</v>
      </c>
    </row>
    <row r="14" spans="3:20">
      <c r="C14" s="6" t="s">
        <v>477</v>
      </c>
      <c r="D14" s="7">
        <v>129953</v>
      </c>
      <c r="F14" s="7">
        <v>784740</v>
      </c>
      <c r="H14" s="7">
        <v>878086</v>
      </c>
      <c r="J14" s="8" t="s">
        <v>478</v>
      </c>
      <c r="K14" s="25">
        <f>+K15+K17</f>
        <v>3893095</v>
      </c>
      <c r="M14" s="25">
        <f>+M15+M17</f>
        <v>930306</v>
      </c>
      <c r="O14" s="25">
        <f>+O15+O17</f>
        <v>29780465</v>
      </c>
      <c r="Q14" s="6" t="s">
        <v>623</v>
      </c>
    </row>
    <row r="15" spans="3:20">
      <c r="C15" s="6" t="s">
        <v>479</v>
      </c>
      <c r="D15" s="7">
        <f>5964728</f>
        <v>5964728</v>
      </c>
      <c r="F15" s="7">
        <f>6799291</f>
        <v>6799291</v>
      </c>
      <c r="H15" s="7">
        <f>8218839</f>
        <v>8218839</v>
      </c>
      <c r="J15" s="9" t="s">
        <v>480</v>
      </c>
      <c r="K15" s="10">
        <f>+K16</f>
        <v>2053370</v>
      </c>
      <c r="M15" s="10">
        <f>+M16</f>
        <v>57142</v>
      </c>
      <c r="O15" s="10">
        <f>+O16</f>
        <v>26009775</v>
      </c>
    </row>
    <row r="16" spans="3:20">
      <c r="J16" s="6" t="s">
        <v>482</v>
      </c>
      <c r="K16" s="7">
        <v>2053370</v>
      </c>
      <c r="M16" s="7">
        <v>57142</v>
      </c>
      <c r="O16" s="7">
        <v>26009775</v>
      </c>
      <c r="Q16" s="6" t="s">
        <v>624</v>
      </c>
    </row>
    <row r="17" spans="2:20">
      <c r="J17" s="9" t="s">
        <v>484</v>
      </c>
      <c r="K17" s="10">
        <f>+K18+K19</f>
        <v>1839725</v>
      </c>
      <c r="M17" s="10">
        <f>+M18+M19</f>
        <v>873164</v>
      </c>
      <c r="O17" s="10">
        <f>+O18+O19</f>
        <v>3770690</v>
      </c>
      <c r="Q17" s="6" t="s">
        <v>625</v>
      </c>
    </row>
    <row r="18" spans="2:20">
      <c r="F18" s="29"/>
      <c r="H18" s="29"/>
      <c r="J18" s="6" t="s">
        <v>485</v>
      </c>
      <c r="K18" s="7">
        <v>55361</v>
      </c>
      <c r="M18" s="7">
        <v>46703</v>
      </c>
      <c r="O18" s="7">
        <v>67133</v>
      </c>
      <c r="Q18" s="6" t="s">
        <v>626</v>
      </c>
    </row>
    <row r="19" spans="2:20">
      <c r="J19" s="6" t="s">
        <v>486</v>
      </c>
      <c r="K19" s="7">
        <v>1784364</v>
      </c>
      <c r="M19" s="1">
        <v>826461</v>
      </c>
      <c r="O19" s="1">
        <v>3703557</v>
      </c>
      <c r="Q19" s="6" t="s">
        <v>627</v>
      </c>
    </row>
    <row r="20" spans="2:20" ht="12.75" thickBot="1">
      <c r="Q20" s="6" t="s">
        <v>628</v>
      </c>
    </row>
    <row r="21" spans="2:20" ht="13.5" thickTop="1" thickBot="1">
      <c r="C21" s="25" t="s">
        <v>487</v>
      </c>
      <c r="D21" s="255">
        <f>+D11+D5</f>
        <v>30079365</v>
      </c>
      <c r="F21" s="255">
        <f>+F11+F5</f>
        <v>31784309</v>
      </c>
      <c r="H21" s="255">
        <f>+H11+H5</f>
        <v>31256199</v>
      </c>
      <c r="J21" s="8" t="s">
        <v>488</v>
      </c>
      <c r="K21" s="255">
        <f>+K14+K10+K5</f>
        <v>30079365</v>
      </c>
      <c r="M21" s="255">
        <f>+M14+M10+M5</f>
        <v>31784309</v>
      </c>
      <c r="O21" s="255">
        <f>+O14+O10+O5</f>
        <v>31256199</v>
      </c>
      <c r="Q21" s="6" t="s">
        <v>629</v>
      </c>
    </row>
    <row r="22" spans="2:20" ht="12.75" thickTop="1">
      <c r="Q22" s="6" t="s">
        <v>630</v>
      </c>
    </row>
    <row r="23" spans="2:20">
      <c r="Q23" s="6" t="s">
        <v>631</v>
      </c>
    </row>
    <row r="24" spans="2:20">
      <c r="Q24" s="6" t="s">
        <v>632</v>
      </c>
    </row>
    <row r="25" spans="2:20">
      <c r="B25" s="6" t="s">
        <v>489</v>
      </c>
      <c r="Q25" s="6" t="s">
        <v>633</v>
      </c>
    </row>
    <row r="26" spans="2:20">
      <c r="B26" s="6" t="s">
        <v>490</v>
      </c>
    </row>
    <row r="27" spans="2:20">
      <c r="B27" s="6" t="s">
        <v>634</v>
      </c>
      <c r="Q27" s="8" t="s">
        <v>492</v>
      </c>
    </row>
    <row r="29" spans="2:20">
      <c r="F29" s="7" t="s">
        <v>452</v>
      </c>
      <c r="H29" s="7" t="s">
        <v>618</v>
      </c>
      <c r="J29" s="7" t="s">
        <v>619</v>
      </c>
      <c r="R29" s="7" t="s">
        <v>619</v>
      </c>
      <c r="S29" s="7" t="s">
        <v>618</v>
      </c>
      <c r="T29" s="7" t="str">
        <f>+T4</f>
        <v>año 2015</v>
      </c>
    </row>
    <row r="30" spans="2:20">
      <c r="B30" s="6" t="s">
        <v>493</v>
      </c>
      <c r="F30" s="7">
        <v>11217081</v>
      </c>
      <c r="H30" s="7">
        <v>10958723</v>
      </c>
      <c r="J30" s="7">
        <v>10880809</v>
      </c>
      <c r="Q30" s="7" t="s">
        <v>494</v>
      </c>
      <c r="R30" s="7">
        <f>+H11/O14</f>
        <v>0.30983431588459076</v>
      </c>
      <c r="S30" s="7">
        <f>+F11/M14</f>
        <v>8.3250167149303564</v>
      </c>
      <c r="T30" s="7">
        <f>+(D11/K14)</f>
        <v>1.600117644187979</v>
      </c>
    </row>
    <row r="31" spans="2:20">
      <c r="B31" s="6"/>
      <c r="F31" s="7"/>
      <c r="H31" s="7"/>
      <c r="J31" s="7"/>
      <c r="Q31" s="7" t="s">
        <v>495</v>
      </c>
      <c r="R31" s="7">
        <f>+(H11-H12)/O14</f>
        <v>0.30546618395649633</v>
      </c>
      <c r="S31" s="7">
        <f>+(F11-F12)/M14</f>
        <v>8.1521897096224247</v>
      </c>
      <c r="T31" s="7">
        <f>+(D11-D12)/K14</f>
        <v>1.5655104743141381</v>
      </c>
    </row>
    <row r="32" spans="2:20">
      <c r="B32" s="6"/>
      <c r="F32" s="7"/>
      <c r="H32" s="7"/>
      <c r="J32" s="7"/>
      <c r="Q32" s="7" t="s">
        <v>496</v>
      </c>
      <c r="R32" s="7">
        <f>+H15/O14</f>
        <v>0.27598088209838229</v>
      </c>
      <c r="S32" s="7">
        <f>+F15/M14</f>
        <v>7.3086608062293479</v>
      </c>
      <c r="T32" s="7">
        <f>+D15/K14</f>
        <v>1.5321300918677814</v>
      </c>
    </row>
    <row r="33" spans="2:20">
      <c r="B33" s="6"/>
      <c r="F33" s="7"/>
      <c r="H33" s="7"/>
      <c r="J33" s="7"/>
      <c r="Q33" s="7"/>
      <c r="R33" s="7"/>
      <c r="S33" s="7"/>
      <c r="T33" s="7"/>
    </row>
    <row r="35" spans="2:20">
      <c r="B35" s="9" t="s">
        <v>498</v>
      </c>
      <c r="F35" s="10">
        <v>6749770</v>
      </c>
      <c r="H35" s="9">
        <v>5162432</v>
      </c>
      <c r="J35" s="10">
        <v>5200361</v>
      </c>
    </row>
    <row r="36" spans="2:20">
      <c r="B36" s="9"/>
      <c r="F36" s="10"/>
      <c r="H36" s="9"/>
      <c r="J36" s="10"/>
    </row>
    <row r="37" spans="2:20">
      <c r="B37" s="9" t="s">
        <v>503</v>
      </c>
      <c r="F37" s="7">
        <f>+(F35-F38)*-1</f>
        <v>-4699273</v>
      </c>
      <c r="H37" s="7">
        <f>+(H35-H38)*-1</f>
        <v>-3796368</v>
      </c>
      <c r="J37" s="7">
        <f>+(J35-J38)*-1</f>
        <v>-3563712</v>
      </c>
      <c r="Q37" s="6" t="s">
        <v>635</v>
      </c>
    </row>
    <row r="38" spans="2:20">
      <c r="B38" s="9" t="s">
        <v>505</v>
      </c>
      <c r="F38" s="10">
        <v>2050497</v>
      </c>
      <c r="H38" s="9">
        <v>1366064</v>
      </c>
      <c r="J38" s="10">
        <v>1636649</v>
      </c>
      <c r="Q38" s="6" t="s">
        <v>636</v>
      </c>
    </row>
    <row r="40" spans="2:20">
      <c r="Q40" s="8" t="s">
        <v>512</v>
      </c>
      <c r="R40" s="7" t="s">
        <v>619</v>
      </c>
      <c r="S40" s="7" t="s">
        <v>618</v>
      </c>
      <c r="T40" s="7" t="str">
        <f>+T29</f>
        <v>año 2015</v>
      </c>
    </row>
    <row r="41" spans="2:20">
      <c r="B41" s="6" t="s">
        <v>508</v>
      </c>
      <c r="F41" s="6">
        <v>2008863</v>
      </c>
      <c r="H41" s="7">
        <v>89902</v>
      </c>
      <c r="J41" s="7">
        <v>113272</v>
      </c>
      <c r="Q41" s="6" t="s">
        <v>514</v>
      </c>
      <c r="R41" s="7">
        <f>+(O10+O14)/O5</f>
        <v>-82.949510760130877</v>
      </c>
      <c r="S41" s="7">
        <f>+(M10+M14)/M5</f>
        <v>400.50967635986962</v>
      </c>
      <c r="T41" s="10">
        <f>+(K10+K14)/K5</f>
        <v>1.3250651097677291</v>
      </c>
    </row>
    <row r="42" spans="2:20">
      <c r="B42" s="6" t="s">
        <v>510</v>
      </c>
      <c r="F42" s="7">
        <v>-772632</v>
      </c>
      <c r="H42" s="7">
        <v>-95689</v>
      </c>
      <c r="J42" s="7">
        <v>-239866</v>
      </c>
      <c r="Q42" s="6" t="s">
        <v>515</v>
      </c>
      <c r="R42" s="7">
        <f>+(O11+O16)/O5</f>
        <v>-73.063273449953854</v>
      </c>
      <c r="S42" s="7">
        <f>+(M10+M16)/M6</f>
        <v>389.47958616507918</v>
      </c>
      <c r="T42" s="10">
        <f>+(K10+K15)/K5</f>
        <v>1.1828586366900082</v>
      </c>
    </row>
    <row r="43" spans="2:20">
      <c r="Q43" s="6" t="s">
        <v>517</v>
      </c>
      <c r="R43" s="7">
        <f>+O5/(O10+O5)</f>
        <v>-0.25845308165292663</v>
      </c>
      <c r="S43" s="7">
        <f>+M5/(M10+M5)</f>
        <v>2.5656962566575235E-3</v>
      </c>
      <c r="T43" s="7">
        <f>+(K6/(K6+K10))</f>
        <v>0.49403748605662434</v>
      </c>
    </row>
    <row r="44" spans="2:20">
      <c r="Q44" s="9" t="s">
        <v>518</v>
      </c>
      <c r="R44" s="7">
        <f>+(1-J54)*-J42/(O11+O16)</f>
        <v>5.856492007314449E-3</v>
      </c>
      <c r="S44" s="257">
        <f>+(1-H54)*H42*-1/(M10+M16)</f>
        <v>2.1670664429727102E-3</v>
      </c>
      <c r="T44" s="42">
        <f>+(1-F54)*F42*-1/(K10+K15)</f>
        <v>3.6944197807057863E-2</v>
      </c>
    </row>
    <row r="45" spans="2:20">
      <c r="B45" s="9" t="s">
        <v>513</v>
      </c>
      <c r="F45" s="10">
        <f>+F41+F42</f>
        <v>1236231</v>
      </c>
      <c r="H45" s="10">
        <f>+H41+H42</f>
        <v>-5787</v>
      </c>
      <c r="J45" s="10">
        <f>+J41+J42</f>
        <v>-126594</v>
      </c>
    </row>
    <row r="46" spans="2:20">
      <c r="Q46" s="6" t="s">
        <v>637</v>
      </c>
    </row>
    <row r="47" spans="2:20">
      <c r="B47" s="9" t="s">
        <v>516</v>
      </c>
      <c r="F47" s="9">
        <f>+F45+F38</f>
        <v>3286728</v>
      </c>
      <c r="H47" s="9">
        <f>+H45+H38</f>
        <v>1360277</v>
      </c>
      <c r="J47" s="10">
        <f>+J45+J38</f>
        <v>1510055</v>
      </c>
      <c r="Q47" s="6" t="s">
        <v>638</v>
      </c>
    </row>
    <row r="48" spans="2:20">
      <c r="Q48" s="6" t="s">
        <v>639</v>
      </c>
    </row>
    <row r="49" spans="2:20">
      <c r="B49" s="6" t="s">
        <v>519</v>
      </c>
      <c r="F49" s="7">
        <v>-881791</v>
      </c>
      <c r="H49" s="7">
        <v>-410462</v>
      </c>
      <c r="J49" s="7">
        <v>-482629</v>
      </c>
      <c r="Q49" s="6" t="s">
        <v>640</v>
      </c>
    </row>
    <row r="50" spans="2:20">
      <c r="Q50" s="6" t="s">
        <v>641</v>
      </c>
    </row>
    <row r="51" spans="2:20">
      <c r="B51" s="9" t="s">
        <v>524</v>
      </c>
      <c r="F51" s="9">
        <f>+F47+F49</f>
        <v>2404937</v>
      </c>
      <c r="H51" s="9">
        <f>+H47+H49</f>
        <v>949815</v>
      </c>
      <c r="J51" s="10">
        <f>+J47+J49</f>
        <v>1027426</v>
      </c>
      <c r="Q51" s="6" t="s">
        <v>642</v>
      </c>
    </row>
    <row r="52" spans="2:20">
      <c r="Q52" s="3" t="s">
        <v>643</v>
      </c>
    </row>
    <row r="53" spans="2:20">
      <c r="Q53" s="6" t="s">
        <v>644</v>
      </c>
    </row>
    <row r="54" spans="2:20">
      <c r="B54" s="6" t="s">
        <v>528</v>
      </c>
      <c r="F54" s="7">
        <f>-F49/F47</f>
        <v>0.26828840110894481</v>
      </c>
      <c r="H54" s="7">
        <f>-H49/H47</f>
        <v>0.30174883497993421</v>
      </c>
      <c r="J54" s="7">
        <f>-J49/J47</f>
        <v>0.31961021287304103</v>
      </c>
      <c r="Q54" s="3" t="s">
        <v>602</v>
      </c>
    </row>
    <row r="55" spans="2:20">
      <c r="B55" s="6"/>
      <c r="F55" s="7"/>
      <c r="H55" s="7"/>
      <c r="J55" s="7"/>
      <c r="Q55" s="6" t="s">
        <v>645</v>
      </c>
    </row>
    <row r="56" spans="2:20">
      <c r="B56" s="6"/>
      <c r="F56" s="7"/>
      <c r="H56" s="7"/>
      <c r="J56" s="7"/>
    </row>
    <row r="57" spans="2:20">
      <c r="Q57" s="3" t="s">
        <v>646</v>
      </c>
    </row>
    <row r="58" spans="2:20">
      <c r="B58" s="6" t="s">
        <v>604</v>
      </c>
      <c r="Q58" s="6" t="s">
        <v>647</v>
      </c>
    </row>
    <row r="59" spans="2:20">
      <c r="F59" s="7" t="s">
        <v>452</v>
      </c>
      <c r="H59" s="7" t="s">
        <v>618</v>
      </c>
      <c r="J59" s="7" t="s">
        <v>619</v>
      </c>
      <c r="Q59" s="6" t="s">
        <v>648</v>
      </c>
    </row>
    <row r="60" spans="2:20">
      <c r="B60" s="9" t="s">
        <v>532</v>
      </c>
    </row>
    <row r="61" spans="2:20">
      <c r="B61" s="6" t="s">
        <v>533</v>
      </c>
      <c r="F61" s="7">
        <f>+F38/F30</f>
        <v>0.1828013009801748</v>
      </c>
      <c r="H61" s="7">
        <f>+H38/H30</f>
        <v>0.12465540008630567</v>
      </c>
      <c r="J61" s="7">
        <f>+J38/J30</f>
        <v>0.15041611336068852</v>
      </c>
      <c r="Q61" s="8" t="s">
        <v>605</v>
      </c>
    </row>
    <row r="62" spans="2:20">
      <c r="B62" s="6" t="s">
        <v>534</v>
      </c>
      <c r="F62" s="7">
        <f>+F30/D21</f>
        <v>0.37291615032431702</v>
      </c>
      <c r="H62" s="7">
        <f>+H30/F21</f>
        <v>0.34478405681243535</v>
      </c>
      <c r="J62" s="7">
        <f>+J30/H21</f>
        <v>0.34811683276011907</v>
      </c>
      <c r="R62" s="7" t="s">
        <v>619</v>
      </c>
      <c r="S62" s="7" t="s">
        <v>618</v>
      </c>
      <c r="T62" s="7" t="str">
        <f>+T4</f>
        <v>año 2015</v>
      </c>
    </row>
    <row r="63" spans="2:20">
      <c r="Q63" s="6" t="s">
        <v>535</v>
      </c>
      <c r="R63" s="7">
        <f>+D14</f>
        <v>129953</v>
      </c>
      <c r="S63" s="7">
        <f>+F14</f>
        <v>784740</v>
      </c>
      <c r="T63" s="7">
        <f>+D14</f>
        <v>129953</v>
      </c>
    </row>
    <row r="64" spans="2:20">
      <c r="B64" s="9" t="s">
        <v>536</v>
      </c>
      <c r="F64" s="7">
        <f>+F38/D21</f>
        <v>6.8169557435803579E-2</v>
      </c>
      <c r="H64" s="7">
        <f>+H38/F21</f>
        <v>4.2979194545333672E-2</v>
      </c>
      <c r="J64" s="7">
        <f>+J38/H21</f>
        <v>5.2362380979209915E-2</v>
      </c>
      <c r="Q64" s="6" t="s">
        <v>537</v>
      </c>
      <c r="R64" s="7">
        <f>+D12</f>
        <v>134729</v>
      </c>
      <c r="S64" s="7">
        <f>+F12</f>
        <v>160782</v>
      </c>
      <c r="T64" s="7">
        <f>+D12</f>
        <v>134729</v>
      </c>
    </row>
    <row r="65" spans="2:20">
      <c r="B65" s="6" t="s">
        <v>538</v>
      </c>
      <c r="Q65" s="9" t="s">
        <v>539</v>
      </c>
      <c r="R65" s="10">
        <f>+R63+R64</f>
        <v>264682</v>
      </c>
      <c r="S65" s="10">
        <f>+S63+S64</f>
        <v>945522</v>
      </c>
      <c r="T65" s="10">
        <f>+T63+T64</f>
        <v>264682</v>
      </c>
    </row>
    <row r="66" spans="2:20">
      <c r="B66" s="6" t="s">
        <v>540</v>
      </c>
      <c r="Q66" s="6" t="s">
        <v>485</v>
      </c>
      <c r="R66" s="7">
        <f>+O17</f>
        <v>3770690</v>
      </c>
      <c r="S66" s="7">
        <f>+M17</f>
        <v>873164</v>
      </c>
      <c r="T66" s="7">
        <f>+K17</f>
        <v>1839725</v>
      </c>
    </row>
    <row r="67" spans="2:20">
      <c r="Q67" s="9" t="s">
        <v>541</v>
      </c>
      <c r="R67" s="10">
        <f>+R66</f>
        <v>3770690</v>
      </c>
      <c r="S67" s="10">
        <f>+S66</f>
        <v>873164</v>
      </c>
      <c r="T67" s="10">
        <f>+T66</f>
        <v>1839725</v>
      </c>
    </row>
    <row r="68" spans="2:20">
      <c r="B68" s="3" t="s">
        <v>649</v>
      </c>
    </row>
    <row r="69" spans="2:20">
      <c r="B69" s="6" t="s">
        <v>650</v>
      </c>
      <c r="Q69" s="9" t="s">
        <v>544</v>
      </c>
      <c r="R69" s="7">
        <f>+R65-R67</f>
        <v>-3506008</v>
      </c>
      <c r="S69" s="7">
        <f>+S65-S67</f>
        <v>72358</v>
      </c>
      <c r="T69" s="7">
        <f>+T65-T67</f>
        <v>-1575043</v>
      </c>
    </row>
    <row r="70" spans="2:20">
      <c r="B70" s="6" t="s">
        <v>608</v>
      </c>
    </row>
    <row r="71" spans="2:20">
      <c r="B71" s="6" t="s">
        <v>651</v>
      </c>
      <c r="Q71" s="3" t="s">
        <v>652</v>
      </c>
    </row>
    <row r="72" spans="2:20">
      <c r="F72" s="7" t="s">
        <v>452</v>
      </c>
      <c r="H72" s="7" t="s">
        <v>618</v>
      </c>
      <c r="J72" s="7" t="s">
        <v>619</v>
      </c>
      <c r="Q72" s="6" t="s">
        <v>653</v>
      </c>
    </row>
    <row r="73" spans="2:20">
      <c r="B73" s="8" t="s">
        <v>610</v>
      </c>
      <c r="F73" s="7">
        <f>+F51/K5</f>
        <v>0.18589604899868972</v>
      </c>
      <c r="H73" s="7">
        <f>+H51/M5</f>
        <v>11.998370430256941</v>
      </c>
      <c r="J73" s="7">
        <f>+J51/O5</f>
        <v>-2.6937714992868531</v>
      </c>
      <c r="Q73" s="6" t="s">
        <v>654</v>
      </c>
    </row>
    <row r="74" spans="2:20">
      <c r="B74" s="3" t="s">
        <v>655</v>
      </c>
      <c r="Q74" s="6" t="s">
        <v>656</v>
      </c>
    </row>
    <row r="75" spans="2:20">
      <c r="B75" s="6" t="s">
        <v>657</v>
      </c>
      <c r="Q75" s="6" t="s">
        <v>613</v>
      </c>
    </row>
    <row r="76" spans="2:20">
      <c r="B76" s="3" t="s">
        <v>658</v>
      </c>
      <c r="Q76" s="6" t="s">
        <v>614</v>
      </c>
    </row>
    <row r="77" spans="2:20">
      <c r="B77" s="6" t="s">
        <v>659</v>
      </c>
      <c r="Q77" s="6" t="s">
        <v>660</v>
      </c>
    </row>
    <row r="78" spans="2:20">
      <c r="B78" s="6" t="s">
        <v>661</v>
      </c>
    </row>
    <row r="79" spans="2:20">
      <c r="B79" s="6" t="s">
        <v>662</v>
      </c>
    </row>
    <row r="80" spans="2:20">
      <c r="B80" s="6" t="s">
        <v>663</v>
      </c>
    </row>
    <row r="82" spans="2:2">
      <c r="B82" s="6" t="s">
        <v>664</v>
      </c>
    </row>
    <row r="83" spans="2:2">
      <c r="B83" s="6" t="s">
        <v>665</v>
      </c>
    </row>
    <row r="84" spans="2:2">
      <c r="B84" s="6" t="s">
        <v>666</v>
      </c>
    </row>
    <row r="85" spans="2:2">
      <c r="B85" s="6" t="s">
        <v>667</v>
      </c>
    </row>
    <row r="86" spans="2:2">
      <c r="B86" s="6" t="s">
        <v>668</v>
      </c>
    </row>
    <row r="89" spans="2:2">
      <c r="B89" s="3" t="s">
        <v>578</v>
      </c>
    </row>
    <row r="90" spans="2:2">
      <c r="B90" s="6" t="s">
        <v>579</v>
      </c>
    </row>
    <row r="91" spans="2:2">
      <c r="B91" s="3" t="s">
        <v>580</v>
      </c>
    </row>
    <row r="92" spans="2:2">
      <c r="B92" s="6" t="s">
        <v>581</v>
      </c>
    </row>
    <row r="95" spans="2:2">
      <c r="B95" s="9"/>
    </row>
    <row r="97" spans="2:11">
      <c r="B97" s="9"/>
      <c r="F97" s="9"/>
      <c r="G97" s="1"/>
      <c r="J97" s="9"/>
    </row>
    <row r="98" spans="2:11">
      <c r="C98" s="7"/>
      <c r="G98" s="7"/>
      <c r="K98" s="7"/>
    </row>
    <row r="99" spans="2:11">
      <c r="B99" s="9"/>
      <c r="C99" s="7"/>
      <c r="F99" s="9"/>
      <c r="G99" s="7"/>
      <c r="J99" s="9"/>
      <c r="K99" s="7"/>
    </row>
    <row r="100" spans="2:11">
      <c r="B100" s="6"/>
      <c r="C100" s="7"/>
      <c r="F100" s="6"/>
      <c r="G100" s="7"/>
      <c r="J100" s="6"/>
      <c r="K100" s="7"/>
    </row>
    <row r="101" spans="2:11">
      <c r="B101" s="9"/>
      <c r="C101" s="7"/>
      <c r="F101" s="9"/>
      <c r="G101" s="7"/>
      <c r="J101" s="9"/>
      <c r="K101" s="7"/>
    </row>
    <row r="102" spans="2:11">
      <c r="C102" s="7"/>
      <c r="G102" s="7"/>
      <c r="K102" s="7"/>
    </row>
    <row r="103" spans="2:11">
      <c r="B103" s="6"/>
      <c r="C103" s="7"/>
      <c r="F103" s="6"/>
      <c r="G103" s="7"/>
      <c r="J103" s="6"/>
      <c r="K103" s="7"/>
    </row>
    <row r="104" spans="2:11">
      <c r="G104" s="1"/>
    </row>
    <row r="105" spans="2:11">
      <c r="B105" s="9"/>
      <c r="C105" s="7"/>
      <c r="F105" s="9"/>
      <c r="G105" s="7"/>
      <c r="J105" s="9"/>
      <c r="K105" s="7"/>
    </row>
    <row r="106" spans="2:11">
      <c r="B106" s="9"/>
      <c r="C106" s="7"/>
      <c r="F106" s="9"/>
      <c r="G106" s="7"/>
      <c r="J106" s="9"/>
      <c r="K106" s="7"/>
    </row>
    <row r="107" spans="2:11">
      <c r="B107" s="6"/>
      <c r="C107" s="7"/>
      <c r="F107" s="6"/>
      <c r="G107" s="7"/>
      <c r="J107" s="6"/>
      <c r="K107" s="7"/>
    </row>
    <row r="108" spans="2:11">
      <c r="C108" s="10"/>
      <c r="D108" s="3"/>
      <c r="G108" s="10"/>
      <c r="K108" s="10"/>
    </row>
    <row r="109" spans="2:11">
      <c r="D109" s="6"/>
    </row>
    <row r="111" spans="2:11">
      <c r="B111" s="3"/>
    </row>
    <row r="112" spans="2:11">
      <c r="B112" s="6"/>
    </row>
    <row r="113" spans="2:2">
      <c r="B113" s="6"/>
    </row>
    <row r="115" spans="2:2">
      <c r="B115" s="9"/>
    </row>
    <row r="116" spans="2:2">
      <c r="B116" s="9"/>
    </row>
    <row r="117" spans="2:2">
      <c r="B117" s="9"/>
    </row>
  </sheetData>
  <mergeCells count="1">
    <mergeCell ref="D3:O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3:K81"/>
  <sheetViews>
    <sheetView workbookViewId="0">
      <selection activeCell="F61" sqref="F61"/>
    </sheetView>
  </sheetViews>
  <sheetFormatPr baseColWidth="10" defaultRowHeight="12"/>
  <cols>
    <col min="1" max="1" width="3.140625" style="23" customWidth="1"/>
    <col min="2" max="2" width="20.5703125" style="23" customWidth="1"/>
    <col min="3" max="3" width="9.5703125" style="23" customWidth="1"/>
    <col min="4" max="4" width="11" style="23" customWidth="1"/>
    <col min="5" max="5" width="10" style="23" customWidth="1"/>
    <col min="6" max="6" width="11.42578125" style="2"/>
    <col min="7" max="16384" width="11.42578125" style="23"/>
  </cols>
  <sheetData>
    <row r="3" spans="2:6">
      <c r="B3" s="5" t="s">
        <v>171</v>
      </c>
    </row>
    <row r="5" spans="2:6">
      <c r="B5" s="4" t="s">
        <v>287</v>
      </c>
      <c r="E5" s="23" t="s">
        <v>174</v>
      </c>
    </row>
    <row r="6" spans="2:6">
      <c r="B6" s="3" t="s">
        <v>173</v>
      </c>
      <c r="E6" s="23">
        <f>100-'neutral hipótesis'!E6-'negativo hipótesis'!E6</f>
        <v>20</v>
      </c>
    </row>
    <row r="7" spans="2:6">
      <c r="E7" s="23" t="s">
        <v>174</v>
      </c>
    </row>
    <row r="8" spans="2:6">
      <c r="B8" s="3" t="s">
        <v>183</v>
      </c>
      <c r="E8" s="195">
        <v>90</v>
      </c>
      <c r="F8" s="3" t="s">
        <v>289</v>
      </c>
    </row>
    <row r="9" spans="2:6">
      <c r="B9" s="3"/>
      <c r="F9" s="3" t="s">
        <v>175</v>
      </c>
    </row>
    <row r="10" spans="2:6">
      <c r="B10" s="3"/>
      <c r="E10" s="7" t="s">
        <v>185</v>
      </c>
      <c r="F10" s="3"/>
    </row>
    <row r="11" spans="2:6">
      <c r="B11" s="3" t="s">
        <v>197</v>
      </c>
      <c r="E11" s="40">
        <f>+'Pagos iniciales'!F7</f>
        <v>60</v>
      </c>
      <c r="F11" s="3"/>
    </row>
    <row r="12" spans="2:6">
      <c r="B12" s="3"/>
      <c r="E12" s="7" t="s">
        <v>185</v>
      </c>
      <c r="F12" s="23"/>
    </row>
    <row r="13" spans="2:6">
      <c r="B13" s="3" t="s">
        <v>184</v>
      </c>
      <c r="E13" s="12">
        <f>+E11*E8*0.01</f>
        <v>54</v>
      </c>
      <c r="F13" s="3" t="s">
        <v>186</v>
      </c>
    </row>
    <row r="14" spans="2:6">
      <c r="F14" s="3" t="s">
        <v>445</v>
      </c>
    </row>
    <row r="15" spans="2:6">
      <c r="D15" s="23" t="s">
        <v>174</v>
      </c>
      <c r="F15" s="3"/>
    </row>
    <row r="16" spans="2:6">
      <c r="B16" s="3" t="s">
        <v>201</v>
      </c>
      <c r="D16" s="7">
        <v>60</v>
      </c>
      <c r="F16" s="3"/>
    </row>
    <row r="17" spans="2:6">
      <c r="B17" s="3" t="s">
        <v>202</v>
      </c>
      <c r="D17" s="7">
        <f>100-D16</f>
        <v>40</v>
      </c>
      <c r="F17" s="3"/>
    </row>
    <row r="18" spans="2:6" ht="12.75" thickBot="1">
      <c r="B18" s="3"/>
      <c r="D18" s="7"/>
      <c r="F18" s="3"/>
    </row>
    <row r="19" spans="2:6">
      <c r="B19" s="60"/>
      <c r="C19" s="61"/>
      <c r="D19" s="18"/>
      <c r="E19" s="36" t="s">
        <v>179</v>
      </c>
      <c r="F19" s="3"/>
    </row>
    <row r="20" spans="2:6">
      <c r="B20" s="66" t="s">
        <v>203</v>
      </c>
      <c r="C20" s="63"/>
      <c r="D20" s="30"/>
      <c r="E20" s="68">
        <f>+ROUNDUP(D16*E13*0.01,0)</f>
        <v>33</v>
      </c>
      <c r="F20" s="3"/>
    </row>
    <row r="21" spans="2:6" ht="12.75" thickBot="1">
      <c r="B21" s="67" t="s">
        <v>204</v>
      </c>
      <c r="C21" s="65"/>
      <c r="D21" s="21"/>
      <c r="E21" s="69">
        <f>+E13-E20</f>
        <v>21</v>
      </c>
      <c r="F21" s="3"/>
    </row>
    <row r="22" spans="2:6">
      <c r="F22" s="3"/>
    </row>
    <row r="23" spans="2:6">
      <c r="E23" s="23" t="s">
        <v>174</v>
      </c>
      <c r="F23" s="3"/>
    </row>
    <row r="24" spans="2:6">
      <c r="B24" s="3" t="s">
        <v>187</v>
      </c>
      <c r="E24" s="195">
        <v>10</v>
      </c>
      <c r="F24" s="3"/>
    </row>
    <row r="25" spans="2:6">
      <c r="B25" s="3"/>
      <c r="E25" s="7" t="s">
        <v>179</v>
      </c>
      <c r="F25" s="3"/>
    </row>
    <row r="26" spans="2:6">
      <c r="B26" s="3" t="s">
        <v>198</v>
      </c>
      <c r="E26" s="91">
        <f>+ROUNDUP(E24*E11*0.01,0)</f>
        <v>6</v>
      </c>
      <c r="F26" s="3"/>
    </row>
    <row r="27" spans="2:6" ht="12.75" thickBot="1">
      <c r="B27" s="3"/>
      <c r="E27" s="25"/>
      <c r="F27" s="3"/>
    </row>
    <row r="28" spans="2:6">
      <c r="B28" s="60"/>
      <c r="C28" s="61"/>
      <c r="D28" s="18"/>
      <c r="E28" s="36" t="s">
        <v>179</v>
      </c>
      <c r="F28" s="3"/>
    </row>
    <row r="29" spans="2:6">
      <c r="B29" s="66" t="s">
        <v>290</v>
      </c>
      <c r="C29" s="63"/>
      <c r="D29" s="30"/>
      <c r="E29" s="68">
        <f>+ROUNDUP(E26*D16*0.01,0)</f>
        <v>4</v>
      </c>
      <c r="F29" s="3"/>
    </row>
    <row r="30" spans="2:6" ht="12.75" thickBot="1">
      <c r="B30" s="67" t="s">
        <v>205</v>
      </c>
      <c r="C30" s="65"/>
      <c r="D30" s="21"/>
      <c r="E30" s="69">
        <f>+E26-E29</f>
        <v>2</v>
      </c>
      <c r="F30" s="3"/>
    </row>
    <row r="31" spans="2:6">
      <c r="B31" s="3"/>
      <c r="E31" s="25"/>
      <c r="F31" s="3"/>
    </row>
    <row r="32" spans="2:6">
      <c r="B32" s="3"/>
      <c r="E32" s="7" t="s">
        <v>23</v>
      </c>
      <c r="F32" s="3"/>
    </row>
    <row r="33" spans="2:6">
      <c r="B33" s="3" t="s">
        <v>188</v>
      </c>
      <c r="E33" s="7">
        <v>5</v>
      </c>
      <c r="F33" s="3"/>
    </row>
    <row r="34" spans="2:6">
      <c r="B34" s="3"/>
      <c r="E34" s="7" t="s">
        <v>191</v>
      </c>
      <c r="F34" s="3"/>
    </row>
    <row r="35" spans="2:6">
      <c r="B35" s="3" t="s">
        <v>192</v>
      </c>
      <c r="E35" s="11">
        <v>2</v>
      </c>
      <c r="F35" s="3"/>
    </row>
    <row r="36" spans="2:6" ht="12.75" thickBot="1">
      <c r="B36" s="3"/>
      <c r="E36" s="7"/>
      <c r="F36" s="3"/>
    </row>
    <row r="37" spans="2:6">
      <c r="B37" s="60"/>
      <c r="C37" s="61"/>
      <c r="D37" s="36" t="s">
        <v>185</v>
      </c>
      <c r="E37" s="7"/>
      <c r="F37" s="3"/>
    </row>
    <row r="38" spans="2:6">
      <c r="B38" s="62" t="s">
        <v>199</v>
      </c>
      <c r="C38" s="63"/>
      <c r="D38" s="68">
        <f>+ROUNDUP(E20+E21+E29+E30,0)</f>
        <v>60</v>
      </c>
      <c r="E38" s="7"/>
      <c r="F38" s="3"/>
    </row>
    <row r="39" spans="2:6" ht="12.75" thickBot="1">
      <c r="B39" s="37" t="s">
        <v>200</v>
      </c>
      <c r="C39" s="65"/>
      <c r="D39" s="69">
        <f>+ROUNDUP(E11-D38,0)</f>
        <v>0</v>
      </c>
      <c r="E39" s="7"/>
      <c r="F39" s="3"/>
    </row>
    <row r="40" spans="2:6">
      <c r="F40" s="3"/>
    </row>
    <row r="41" spans="2:6">
      <c r="D41" s="10" t="s">
        <v>179</v>
      </c>
    </row>
    <row r="42" spans="2:6">
      <c r="B42" s="4" t="s">
        <v>176</v>
      </c>
      <c r="D42" s="12">
        <f>+D43+D44</f>
        <v>60</v>
      </c>
    </row>
    <row r="43" spans="2:6">
      <c r="B43" s="3" t="s">
        <v>177</v>
      </c>
      <c r="D43" s="40">
        <f>+'Pagos iniciales'!F9</f>
        <v>36</v>
      </c>
    </row>
    <row r="44" spans="2:6">
      <c r="B44" s="3" t="s">
        <v>178</v>
      </c>
      <c r="D44" s="40">
        <f>+'Pagos iniciales'!F8</f>
        <v>24</v>
      </c>
    </row>
    <row r="46" spans="2:6">
      <c r="B46" s="4" t="s">
        <v>189</v>
      </c>
      <c r="D46" s="7" t="s">
        <v>181</v>
      </c>
    </row>
    <row r="47" spans="2:6">
      <c r="B47" s="3" t="s">
        <v>180</v>
      </c>
      <c r="D47" s="23">
        <v>40</v>
      </c>
      <c r="E47" s="3" t="s">
        <v>193</v>
      </c>
    </row>
    <row r="48" spans="2:6">
      <c r="B48" s="3" t="s">
        <v>182</v>
      </c>
      <c r="D48" s="7">
        <v>35</v>
      </c>
      <c r="E48" s="3" t="s">
        <v>194</v>
      </c>
    </row>
    <row r="50" spans="2:11">
      <c r="B50" s="4" t="s">
        <v>190</v>
      </c>
      <c r="D50" s="7" t="s">
        <v>26</v>
      </c>
    </row>
    <row r="51" spans="2:11">
      <c r="B51" s="3" t="s">
        <v>180</v>
      </c>
      <c r="D51" s="23">
        <v>10</v>
      </c>
      <c r="E51" s="3" t="s">
        <v>195</v>
      </c>
    </row>
    <row r="52" spans="2:11">
      <c r="B52" s="3" t="s">
        <v>182</v>
      </c>
      <c r="D52" s="7">
        <v>9</v>
      </c>
      <c r="E52" s="3" t="s">
        <v>196</v>
      </c>
    </row>
    <row r="53" spans="2:11">
      <c r="E53" s="2"/>
    </row>
    <row r="55" spans="2:11">
      <c r="B55" s="4" t="s">
        <v>263</v>
      </c>
    </row>
    <row r="56" spans="2:11">
      <c r="B56" s="4"/>
    </row>
    <row r="57" spans="2:11">
      <c r="B57" s="4" t="s">
        <v>432</v>
      </c>
      <c r="D57" s="7"/>
    </row>
    <row r="58" spans="2:11">
      <c r="B58" s="4"/>
      <c r="D58" s="7"/>
      <c r="K58" s="7" t="s">
        <v>278</v>
      </c>
    </row>
    <row r="59" spans="2:11">
      <c r="B59" s="4"/>
      <c r="D59" s="7" t="s">
        <v>174</v>
      </c>
      <c r="J59" s="7" t="s">
        <v>266</v>
      </c>
      <c r="K59" s="23">
        <v>31</v>
      </c>
    </row>
    <row r="60" spans="2:11">
      <c r="B60" s="3" t="s">
        <v>264</v>
      </c>
      <c r="D60" s="7">
        <v>90</v>
      </c>
      <c r="J60" s="7" t="s">
        <v>267</v>
      </c>
      <c r="K60" s="23">
        <v>28</v>
      </c>
    </row>
    <row r="61" spans="2:11">
      <c r="B61" s="3" t="s">
        <v>265</v>
      </c>
      <c r="D61" s="7">
        <f>100-D60</f>
        <v>10</v>
      </c>
      <c r="J61" s="7" t="s">
        <v>268</v>
      </c>
      <c r="K61" s="23">
        <v>31</v>
      </c>
    </row>
    <row r="62" spans="2:11">
      <c r="B62" s="4"/>
      <c r="D62" s="7"/>
      <c r="J62" s="7" t="s">
        <v>269</v>
      </c>
      <c r="K62" s="23">
        <v>30</v>
      </c>
    </row>
    <row r="63" spans="2:11">
      <c r="B63" s="139"/>
      <c r="C63" s="93"/>
      <c r="D63" s="94"/>
      <c r="E63" s="114" t="s">
        <v>208</v>
      </c>
      <c r="F63" s="280" t="s">
        <v>429</v>
      </c>
      <c r="G63" s="280"/>
      <c r="H63" s="281"/>
      <c r="J63" s="7" t="s">
        <v>270</v>
      </c>
      <c r="K63" s="23">
        <v>31</v>
      </c>
    </row>
    <row r="64" spans="2:11">
      <c r="B64" s="95"/>
      <c r="C64" s="63"/>
      <c r="D64" s="30" t="s">
        <v>207</v>
      </c>
      <c r="E64" s="30" t="s">
        <v>181</v>
      </c>
      <c r="F64" s="30" t="s">
        <v>181</v>
      </c>
      <c r="G64" s="30" t="s">
        <v>44</v>
      </c>
      <c r="H64" s="96" t="s">
        <v>158</v>
      </c>
      <c r="J64" s="7" t="s">
        <v>271</v>
      </c>
      <c r="K64" s="23">
        <v>30</v>
      </c>
    </row>
    <row r="65" spans="2:11">
      <c r="B65" s="95" t="s">
        <v>206</v>
      </c>
      <c r="C65" s="63"/>
      <c r="D65" s="85">
        <f>+E20</f>
        <v>33</v>
      </c>
      <c r="E65" s="63">
        <f>+D48</f>
        <v>35</v>
      </c>
      <c r="F65" s="63">
        <f>+D65*E65*D$60*0.01</f>
        <v>1039.5</v>
      </c>
      <c r="G65" s="63">
        <f>+F65*K$76</f>
        <v>31618.125</v>
      </c>
      <c r="H65" s="96">
        <f>+F65*K$73</f>
        <v>379417.5</v>
      </c>
      <c r="J65" s="7" t="s">
        <v>272</v>
      </c>
      <c r="K65" s="23">
        <v>31</v>
      </c>
    </row>
    <row r="66" spans="2:11">
      <c r="B66" s="95" t="s">
        <v>209</v>
      </c>
      <c r="C66" s="63"/>
      <c r="D66" s="85">
        <f>+E21</f>
        <v>21</v>
      </c>
      <c r="E66" s="63">
        <f>+D47</f>
        <v>40</v>
      </c>
      <c r="F66" s="63">
        <f>+D66*E66*D$60*0.01</f>
        <v>756</v>
      </c>
      <c r="G66" s="63">
        <f>+F66*K$76</f>
        <v>22995</v>
      </c>
      <c r="H66" s="96">
        <f>+F66*K$73</f>
        <v>275940</v>
      </c>
      <c r="J66" s="7" t="s">
        <v>273</v>
      </c>
      <c r="K66" s="23">
        <v>31</v>
      </c>
    </row>
    <row r="67" spans="2:11">
      <c r="B67" s="140"/>
      <c r="C67" s="100"/>
      <c r="D67" s="101"/>
      <c r="E67" s="100"/>
      <c r="F67" s="92">
        <f>+SUM(F65:F66)</f>
        <v>1795.5</v>
      </c>
      <c r="G67" s="92">
        <f t="shared" ref="G67:H67" si="0">+SUM(G65:G66)</f>
        <v>54613.125</v>
      </c>
      <c r="H67" s="111">
        <f t="shared" si="0"/>
        <v>655357.5</v>
      </c>
      <c r="J67" s="7" t="s">
        <v>274</v>
      </c>
      <c r="K67" s="23">
        <v>30</v>
      </c>
    </row>
    <row r="68" spans="2:11">
      <c r="D68" s="40"/>
      <c r="J68" s="7" t="s">
        <v>275</v>
      </c>
      <c r="K68" s="23">
        <v>31</v>
      </c>
    </row>
    <row r="69" spans="2:11">
      <c r="B69" s="4" t="s">
        <v>431</v>
      </c>
      <c r="D69" s="40"/>
      <c r="J69" s="7" t="s">
        <v>276</v>
      </c>
      <c r="K69" s="23">
        <v>30</v>
      </c>
    </row>
    <row r="70" spans="2:11">
      <c r="B70" s="112"/>
      <c r="C70" s="93"/>
      <c r="D70" s="113"/>
      <c r="E70" s="114" t="s">
        <v>208</v>
      </c>
      <c r="F70" s="280" t="s">
        <v>429</v>
      </c>
      <c r="G70" s="280"/>
      <c r="H70" s="281"/>
      <c r="J70" s="7" t="s">
        <v>277</v>
      </c>
      <c r="K70" s="23">
        <v>31</v>
      </c>
    </row>
    <row r="71" spans="2:11">
      <c r="B71" s="115"/>
      <c r="C71" s="63"/>
      <c r="D71" s="109" t="s">
        <v>207</v>
      </c>
      <c r="E71" s="30" t="s">
        <v>26</v>
      </c>
      <c r="F71" s="30" t="s">
        <v>181</v>
      </c>
      <c r="G71" s="30" t="s">
        <v>44</v>
      </c>
      <c r="H71" s="96" t="s">
        <v>158</v>
      </c>
    </row>
    <row r="72" spans="2:11">
      <c r="B72" s="95" t="s">
        <v>206</v>
      </c>
      <c r="C72" s="63"/>
      <c r="D72" s="85">
        <f>+E29</f>
        <v>4</v>
      </c>
      <c r="E72" s="63">
        <f>+D52</f>
        <v>9</v>
      </c>
      <c r="F72" s="63">
        <f>+D72*E72*E33*E35*D$60*0.01</f>
        <v>324</v>
      </c>
      <c r="G72" s="63">
        <f>+F72*K76</f>
        <v>9855</v>
      </c>
      <c r="H72" s="96">
        <f>+F72*K73</f>
        <v>118260</v>
      </c>
      <c r="K72" s="7" t="s">
        <v>279</v>
      </c>
    </row>
    <row r="73" spans="2:11">
      <c r="B73" s="95" t="s">
        <v>209</v>
      </c>
      <c r="C73" s="63"/>
      <c r="D73" s="85">
        <f>+E30</f>
        <v>2</v>
      </c>
      <c r="E73" s="63">
        <f>+D51</f>
        <v>10</v>
      </c>
      <c r="F73" s="63">
        <f>+D73*E73*E33*E35*D60*0.01</f>
        <v>180</v>
      </c>
      <c r="G73" s="63">
        <f>+F73*K76</f>
        <v>5475</v>
      </c>
      <c r="H73" s="96">
        <f>+F73*K73</f>
        <v>65700</v>
      </c>
      <c r="K73" s="7">
        <f>+SUM(K59:K70)</f>
        <v>365</v>
      </c>
    </row>
    <row r="74" spans="2:11">
      <c r="B74" s="99"/>
      <c r="C74" s="100"/>
      <c r="D74" s="100"/>
      <c r="E74" s="100"/>
      <c r="F74" s="92">
        <f>+SUM(F72:F73)</f>
        <v>504</v>
      </c>
      <c r="G74" s="92">
        <f t="shared" ref="G74" si="1">+SUM(G72:G73)</f>
        <v>15330</v>
      </c>
      <c r="H74" s="111">
        <f t="shared" ref="H74" si="2">+SUM(H72:H73)</f>
        <v>183960</v>
      </c>
    </row>
    <row r="75" spans="2:11" ht="12.75" thickBot="1">
      <c r="F75" s="10"/>
      <c r="G75" s="10"/>
      <c r="H75" s="10"/>
      <c r="K75" s="7" t="s">
        <v>278</v>
      </c>
    </row>
    <row r="76" spans="2:11">
      <c r="B76" s="70"/>
      <c r="C76" s="18" t="s">
        <v>181</v>
      </c>
      <c r="D76" s="18" t="s">
        <v>44</v>
      </c>
      <c r="E76" s="36" t="s">
        <v>158</v>
      </c>
      <c r="K76" s="10">
        <f>+AVERAGE(K59:K70)</f>
        <v>30.416666666666668</v>
      </c>
    </row>
    <row r="77" spans="2:11" ht="12.75" thickBot="1">
      <c r="B77" s="71" t="s">
        <v>447</v>
      </c>
      <c r="C77" s="72">
        <f>+F67+F74</f>
        <v>2299.5</v>
      </c>
      <c r="D77" s="72">
        <f t="shared" ref="D77:E77" si="3">+G67+G74</f>
        <v>69943.125</v>
      </c>
      <c r="E77" s="73">
        <f t="shared" si="3"/>
        <v>839317.5</v>
      </c>
    </row>
    <row r="79" spans="2:11">
      <c r="D79" s="23" t="s">
        <v>174</v>
      </c>
    </row>
    <row r="80" spans="2:11">
      <c r="B80" s="4" t="s">
        <v>235</v>
      </c>
      <c r="D80" s="10">
        <v>2</v>
      </c>
      <c r="E80" s="3" t="s">
        <v>236</v>
      </c>
    </row>
    <row r="81" spans="5:5">
      <c r="E81" s="3" t="s">
        <v>237</v>
      </c>
    </row>
  </sheetData>
  <mergeCells count="2">
    <mergeCell ref="F63:H63"/>
    <mergeCell ref="F70:H7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X144"/>
  <sheetViews>
    <sheetView topLeftCell="A11" workbookViewId="0">
      <selection activeCell="J122" sqref="J122"/>
    </sheetView>
  </sheetViews>
  <sheetFormatPr baseColWidth="10" defaultRowHeight="12"/>
  <cols>
    <col min="1" max="1" width="2.28515625" style="1" customWidth="1"/>
    <col min="2" max="2" width="8.140625" style="2" customWidth="1"/>
    <col min="3" max="3" width="24.140625" style="2" customWidth="1"/>
    <col min="4" max="4" width="17.85546875" style="1" customWidth="1"/>
    <col min="5" max="5" width="11.42578125" style="1" customWidth="1"/>
    <col min="6" max="6" width="14.140625" style="1" customWidth="1"/>
    <col min="7" max="7" width="11.140625" style="1" customWidth="1"/>
    <col min="8" max="8" width="12.7109375" style="1" customWidth="1"/>
    <col min="9" max="9" width="11.140625" style="1" customWidth="1"/>
    <col min="10" max="10" width="10.7109375" style="1" customWidth="1"/>
    <col min="11" max="11" width="12.5703125" style="1" customWidth="1"/>
    <col min="12" max="12" width="3.7109375" style="1" hidden="1" customWidth="1"/>
    <col min="13" max="13" width="19.28515625" style="1" customWidth="1"/>
    <col min="14" max="15" width="2.85546875" style="1" customWidth="1"/>
    <col min="16" max="16" width="7.5703125" style="1" bestFit="1" customWidth="1"/>
    <col min="17" max="17" width="9.28515625" style="1" bestFit="1" customWidth="1"/>
    <col min="18" max="18" width="13.85546875" style="1" bestFit="1" customWidth="1"/>
    <col min="19" max="19" width="14.140625" style="1" bestFit="1" customWidth="1"/>
    <col min="20" max="21" width="0" style="1" hidden="1" customWidth="1"/>
    <col min="22" max="22" width="14" style="1" hidden="1" customWidth="1"/>
    <col min="23" max="23" width="15.140625" style="1" bestFit="1" customWidth="1"/>
    <col min="24" max="24" width="11.42578125" style="1"/>
    <col min="25" max="25" width="2.85546875" style="1" customWidth="1"/>
    <col min="26" max="16384" width="11.42578125" style="1"/>
  </cols>
  <sheetData>
    <row r="2" spans="2:5">
      <c r="B2" s="10" t="s">
        <v>228</v>
      </c>
      <c r="C2" s="2">
        <f>+'Pagos iniciales'!D3</f>
        <v>0.3</v>
      </c>
      <c r="D2" s="3" t="s">
        <v>229</v>
      </c>
    </row>
    <row r="4" spans="2:5">
      <c r="B4" s="10" t="s">
        <v>211</v>
      </c>
      <c r="C4" s="3" t="s">
        <v>212</v>
      </c>
    </row>
    <row r="5" spans="2:5">
      <c r="C5" s="3" t="s">
        <v>213</v>
      </c>
    </row>
    <row r="6" spans="2:5">
      <c r="C6" s="3" t="s">
        <v>214</v>
      </c>
    </row>
    <row r="7" spans="2:5">
      <c r="C7" s="3" t="s">
        <v>215</v>
      </c>
    </row>
    <row r="8" spans="2:5">
      <c r="C8" s="3" t="s">
        <v>216</v>
      </c>
    </row>
    <row r="9" spans="2:5">
      <c r="C9" s="3" t="s">
        <v>217</v>
      </c>
    </row>
    <row r="11" spans="2:5">
      <c r="E11" s="7" t="s">
        <v>10</v>
      </c>
    </row>
    <row r="12" spans="2:5">
      <c r="C12" s="4" t="s">
        <v>220</v>
      </c>
      <c r="E12" s="7"/>
    </row>
    <row r="13" spans="2:5">
      <c r="C13" s="4" t="s">
        <v>221</v>
      </c>
      <c r="E13" s="7">
        <f>+'Pagos iniciales'!E96</f>
        <v>75000</v>
      </c>
    </row>
    <row r="15" spans="2:5">
      <c r="C15" s="4" t="s">
        <v>222</v>
      </c>
    </row>
    <row r="16" spans="2:5">
      <c r="C16" s="4" t="s">
        <v>223</v>
      </c>
      <c r="E16" s="7">
        <f>-'Pagos iniciales'!E95</f>
        <v>-1714696.8</v>
      </c>
    </row>
    <row r="17" spans="2:24">
      <c r="E17" s="7" t="s">
        <v>10</v>
      </c>
    </row>
    <row r="18" spans="2:24">
      <c r="E18" s="10">
        <f>+E13+E16</f>
        <v>-1639696.8</v>
      </c>
      <c r="F18" s="3" t="s">
        <v>224</v>
      </c>
      <c r="G18" s="3"/>
    </row>
    <row r="19" spans="2:24">
      <c r="E19" s="10"/>
      <c r="F19" s="3"/>
      <c r="G19" s="3"/>
    </row>
    <row r="20" spans="2:24">
      <c r="E20" s="10"/>
      <c r="F20" s="7" t="s">
        <v>282</v>
      </c>
      <c r="G20" s="3"/>
    </row>
    <row r="21" spans="2:24">
      <c r="B21" s="3" t="s">
        <v>281</v>
      </c>
      <c r="E21" s="10"/>
      <c r="F21" s="10">
        <f>+'neutral hipótesis'!D61</f>
        <v>10</v>
      </c>
      <c r="G21" s="3"/>
    </row>
    <row r="22" spans="2:24">
      <c r="E22" s="10"/>
      <c r="F22" s="3"/>
      <c r="G22" s="3"/>
    </row>
    <row r="23" spans="2:24" ht="12.75" thickBot="1">
      <c r="E23" s="10"/>
      <c r="F23" s="3"/>
      <c r="G23" s="3"/>
    </row>
    <row r="24" spans="2:24">
      <c r="B24" s="35"/>
      <c r="C24" s="22"/>
      <c r="D24" s="17"/>
      <c r="E24" s="77"/>
      <c r="F24" s="33"/>
      <c r="G24" s="33"/>
      <c r="H24" s="17"/>
      <c r="I24" s="17"/>
      <c r="J24" s="17"/>
      <c r="K24" s="17"/>
      <c r="L24" s="17"/>
      <c r="M24" s="78"/>
      <c r="P24" s="196"/>
      <c r="Q24" s="276" t="s">
        <v>234</v>
      </c>
      <c r="R24" s="276"/>
      <c r="S24" s="276"/>
      <c r="T24" s="276"/>
      <c r="U24" s="276"/>
      <c r="V24" s="276"/>
      <c r="W24" s="276"/>
      <c r="X24" s="277"/>
    </row>
    <row r="25" spans="2:24">
      <c r="B25" s="79"/>
      <c r="C25" s="269" t="s">
        <v>234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75"/>
      <c r="P25" s="197" t="s">
        <v>14</v>
      </c>
      <c r="Q25" s="30"/>
      <c r="R25" s="30"/>
      <c r="S25" s="28"/>
      <c r="T25" s="30"/>
      <c r="U25" s="30"/>
      <c r="V25" s="59"/>
      <c r="W25" s="28"/>
      <c r="X25" s="98"/>
    </row>
    <row r="26" spans="2:24">
      <c r="B26" s="80" t="s">
        <v>14</v>
      </c>
      <c r="C26" s="30"/>
      <c r="D26" s="30"/>
      <c r="E26" s="28" t="s">
        <v>226</v>
      </c>
      <c r="F26" s="30"/>
      <c r="G26" s="30"/>
      <c r="H26" s="28" t="s">
        <v>226</v>
      </c>
      <c r="I26" s="30"/>
      <c r="J26" s="28" t="s">
        <v>226</v>
      </c>
      <c r="K26" s="30"/>
      <c r="L26" s="30"/>
      <c r="M26" s="64"/>
      <c r="P26" s="133" t="s">
        <v>71</v>
      </c>
      <c r="Q26" s="30" t="s">
        <v>256</v>
      </c>
      <c r="R26" s="47" t="s">
        <v>257</v>
      </c>
      <c r="S26" s="28" t="s">
        <v>258</v>
      </c>
      <c r="T26" s="30" t="s">
        <v>233</v>
      </c>
      <c r="U26" s="30" t="s">
        <v>259</v>
      </c>
      <c r="V26" s="28" t="s">
        <v>260</v>
      </c>
      <c r="W26" s="28" t="s">
        <v>261</v>
      </c>
      <c r="X26" s="203" t="s">
        <v>262</v>
      </c>
    </row>
    <row r="27" spans="2:24">
      <c r="B27" s="81" t="s">
        <v>71</v>
      </c>
      <c r="C27" s="28" t="s">
        <v>280</v>
      </c>
      <c r="D27" s="28" t="s">
        <v>252</v>
      </c>
      <c r="E27" s="82" t="s">
        <v>227</v>
      </c>
      <c r="F27" s="87" t="s">
        <v>710</v>
      </c>
      <c r="G27" s="30"/>
      <c r="H27" s="82" t="s">
        <v>231</v>
      </c>
      <c r="I27" s="30" t="s">
        <v>254</v>
      </c>
      <c r="J27" s="82" t="s">
        <v>230</v>
      </c>
      <c r="K27" s="30" t="s">
        <v>710</v>
      </c>
      <c r="L27" s="30"/>
      <c r="M27" s="64" t="s">
        <v>255</v>
      </c>
      <c r="P27" s="134">
        <v>0</v>
      </c>
      <c r="Q27" s="30">
        <v>0</v>
      </c>
      <c r="R27" s="30">
        <v>0</v>
      </c>
      <c r="S27" s="28">
        <f>+Q27+R27</f>
        <v>0</v>
      </c>
      <c r="T27" s="30">
        <v>0</v>
      </c>
      <c r="U27" s="30">
        <v>0</v>
      </c>
      <c r="V27" s="28">
        <f>+T27+U27</f>
        <v>0</v>
      </c>
      <c r="W27" s="28">
        <f>+S27-V27</f>
        <v>0</v>
      </c>
      <c r="X27" s="204"/>
    </row>
    <row r="28" spans="2:24">
      <c r="B28" s="83">
        <v>1</v>
      </c>
      <c r="C28" s="30">
        <f>+'positivo hipótesis'!E77*Inflación!D12/('positivo hipótesis'!D60*0.01)</f>
        <v>951226.5</v>
      </c>
      <c r="D28" s="30">
        <f>(-Gastos!E10-Gastos!E17-Gastos!E51-Gastos!E55-Gastos!E67-Gastos!D103-Gastos!E106)*12*Inflación!D12</f>
        <v>-565916.4</v>
      </c>
      <c r="E28" s="28">
        <f>+C28+D28</f>
        <v>385310.1</v>
      </c>
      <c r="F28" s="30">
        <f>-Gastos!E$81-Gastos!D$91</f>
        <v>-88400</v>
      </c>
      <c r="G28" s="30"/>
      <c r="H28" s="28">
        <f t="shared" ref="H28:H34" si="0">+E28+F28+G28</f>
        <v>296910.09999999998</v>
      </c>
      <c r="I28" s="48">
        <f>-H28*C$2+'Pagos iniciales'!E74+'Pagos iniciales'!E82</f>
        <v>-86181.029999999984</v>
      </c>
      <c r="J28" s="28">
        <f t="shared" ref="J28:J34" si="1">+H28+I28</f>
        <v>210729.07</v>
      </c>
      <c r="K28" s="30">
        <f t="shared" ref="K28:K34" si="2">-F28</f>
        <v>88400</v>
      </c>
      <c r="L28" s="30"/>
      <c r="M28" s="64">
        <f>+J28+K28+L28</f>
        <v>299129.07</v>
      </c>
      <c r="P28" s="134">
        <v>1</v>
      </c>
      <c r="Q28" s="30">
        <v>0</v>
      </c>
      <c r="R28" s="30">
        <f>+F$21*0.01*C28</f>
        <v>95122.650000000009</v>
      </c>
      <c r="S28" s="28">
        <f t="shared" ref="S28:S31" si="3">+Q28+R28</f>
        <v>95122.650000000009</v>
      </c>
      <c r="T28" s="30">
        <v>0</v>
      </c>
      <c r="U28" s="30">
        <v>0</v>
      </c>
      <c r="V28" s="28">
        <f t="shared" ref="V28:V31" si="4">+T28+U28</f>
        <v>0</v>
      </c>
      <c r="W28" s="28">
        <f t="shared" ref="W28:W31" si="5">+S28-V28</f>
        <v>95122.650000000009</v>
      </c>
      <c r="X28" s="98">
        <f>+W28-W27</f>
        <v>95122.650000000009</v>
      </c>
    </row>
    <row r="29" spans="2:24">
      <c r="B29" s="83">
        <v>2</v>
      </c>
      <c r="C29" s="30">
        <f>+C28*(1+'positivo hipótesis'!D$80*0.01)*Inflación!D13</f>
        <v>989656.05060000008</v>
      </c>
      <c r="D29" s="30">
        <f>+D28*Inflación!D13</f>
        <v>-577234.728</v>
      </c>
      <c r="E29" s="28">
        <f t="shared" ref="E29:E34" si="6">+C29+D29</f>
        <v>412421.32260000007</v>
      </c>
      <c r="F29" s="30">
        <f>-Gastos!E$81-Gastos!D$91</f>
        <v>-88400</v>
      </c>
      <c r="G29" s="30"/>
      <c r="H29" s="28">
        <f t="shared" si="0"/>
        <v>324021.32260000007</v>
      </c>
      <c r="I29" s="30">
        <f t="shared" ref="I29:I34" si="7">-H29*C$2</f>
        <v>-97206.396780000025</v>
      </c>
      <c r="J29" s="28">
        <f t="shared" si="1"/>
        <v>226814.92582000006</v>
      </c>
      <c r="K29" s="30">
        <f t="shared" si="2"/>
        <v>88400</v>
      </c>
      <c r="L29" s="30"/>
      <c r="M29" s="64">
        <f t="shared" ref="M29:M34" si="8">+J29+K29+L29</f>
        <v>315214.92582000006</v>
      </c>
      <c r="P29" s="134">
        <v>2</v>
      </c>
      <c r="Q29" s="30">
        <v>0</v>
      </c>
      <c r="R29" s="30">
        <f t="shared" ref="R29:R31" si="9">+F$21*0.01*C29</f>
        <v>98965.605060000016</v>
      </c>
      <c r="S29" s="28">
        <f t="shared" si="3"/>
        <v>98965.605060000016</v>
      </c>
      <c r="T29" s="30">
        <v>0</v>
      </c>
      <c r="U29" s="30">
        <v>0</v>
      </c>
      <c r="V29" s="28">
        <f t="shared" si="4"/>
        <v>0</v>
      </c>
      <c r="W29" s="28">
        <f t="shared" si="5"/>
        <v>98965.605060000016</v>
      </c>
      <c r="X29" s="98">
        <f t="shared" ref="X29:X31" si="10">+W29-W28</f>
        <v>3842.9550600000075</v>
      </c>
    </row>
    <row r="30" spans="2:24">
      <c r="B30" s="83">
        <v>3</v>
      </c>
      <c r="C30" s="30">
        <f>+C29*(1+'positivo hipótesis'!D$80*0.01)*Inflación!D14</f>
        <v>1029638.1550442401</v>
      </c>
      <c r="D30" s="30">
        <f>+D29*Inflación!D14</f>
        <v>-588779.42255999998</v>
      </c>
      <c r="E30" s="28">
        <f t="shared" si="6"/>
        <v>440858.73248424008</v>
      </c>
      <c r="F30" s="30">
        <f>-Gastos!E$81-Gastos!D$91</f>
        <v>-88400</v>
      </c>
      <c r="G30" s="30"/>
      <c r="H30" s="28">
        <f t="shared" si="0"/>
        <v>352458.73248424008</v>
      </c>
      <c r="I30" s="30">
        <f t="shared" si="7"/>
        <v>-105737.61974527202</v>
      </c>
      <c r="J30" s="28">
        <f t="shared" si="1"/>
        <v>246721.11273896805</v>
      </c>
      <c r="K30" s="30">
        <f t="shared" si="2"/>
        <v>88400</v>
      </c>
      <c r="L30" s="30"/>
      <c r="M30" s="64">
        <f t="shared" si="8"/>
        <v>335121.11273896805</v>
      </c>
      <c r="P30" s="134">
        <v>3</v>
      </c>
      <c r="Q30" s="30">
        <v>0</v>
      </c>
      <c r="R30" s="30">
        <f t="shared" si="9"/>
        <v>102963.81550442401</v>
      </c>
      <c r="S30" s="28">
        <f t="shared" si="3"/>
        <v>102963.81550442401</v>
      </c>
      <c r="T30" s="30">
        <v>0</v>
      </c>
      <c r="U30" s="30">
        <v>0</v>
      </c>
      <c r="V30" s="28">
        <f t="shared" si="4"/>
        <v>0</v>
      </c>
      <c r="W30" s="28">
        <f t="shared" si="5"/>
        <v>102963.81550442401</v>
      </c>
      <c r="X30" s="98">
        <f t="shared" si="10"/>
        <v>3998.2104444239958</v>
      </c>
    </row>
    <row r="31" spans="2:24" ht="12.75" thickBot="1">
      <c r="B31" s="84">
        <v>4</v>
      </c>
      <c r="C31" s="21">
        <f>+C30*(1+'positivo hipótesis'!D$80*0.01)*Inflación!D15</f>
        <v>1071235.5365080272</v>
      </c>
      <c r="D31" s="21">
        <f>+D30*Inflación!D15</f>
        <v>-600555.01101120003</v>
      </c>
      <c r="E31" s="26">
        <f t="shared" si="6"/>
        <v>470680.52549682721</v>
      </c>
      <c r="F31" s="21">
        <f>-Gastos!E$81-Gastos!D$91</f>
        <v>-88400</v>
      </c>
      <c r="G31" s="21"/>
      <c r="H31" s="26">
        <f t="shared" si="0"/>
        <v>382280.52549682721</v>
      </c>
      <c r="I31" s="21">
        <f t="shared" si="7"/>
        <v>-114684.15764904815</v>
      </c>
      <c r="J31" s="26">
        <f t="shared" si="1"/>
        <v>267596.36784777907</v>
      </c>
      <c r="K31" s="21">
        <f t="shared" si="2"/>
        <v>88400</v>
      </c>
      <c r="L31" s="21"/>
      <c r="M31" s="38">
        <f t="shared" si="8"/>
        <v>355996.36784777907</v>
      </c>
      <c r="P31" s="135">
        <v>4</v>
      </c>
      <c r="Q31" s="224">
        <v>0</v>
      </c>
      <c r="R31" s="224">
        <f t="shared" si="9"/>
        <v>107123.55365080273</v>
      </c>
      <c r="S31" s="223">
        <f t="shared" si="3"/>
        <v>107123.55365080273</v>
      </c>
      <c r="T31" s="224">
        <v>0</v>
      </c>
      <c r="U31" s="224">
        <v>0</v>
      </c>
      <c r="V31" s="223">
        <f t="shared" si="4"/>
        <v>0</v>
      </c>
      <c r="W31" s="252">
        <f t="shared" si="5"/>
        <v>107123.55365080273</v>
      </c>
      <c r="X31" s="111">
        <f t="shared" si="10"/>
        <v>4159.7381463787169</v>
      </c>
    </row>
    <row r="32" spans="2:24">
      <c r="B32" s="1"/>
      <c r="C32" s="30"/>
      <c r="D32" s="30"/>
      <c r="E32" s="28"/>
      <c r="F32" s="30"/>
      <c r="G32" s="30"/>
      <c r="H32" s="28"/>
      <c r="I32" s="30"/>
      <c r="J32" s="28"/>
      <c r="K32" s="30"/>
      <c r="L32" s="30"/>
    </row>
    <row r="33" spans="2:16" hidden="1">
      <c r="B33" s="1"/>
      <c r="C33" s="1"/>
    </row>
    <row r="34" spans="2:16" hidden="1">
      <c r="B34" s="1"/>
      <c r="C34" s="1"/>
    </row>
    <row r="35" spans="2:16" hidden="1">
      <c r="B35" s="1"/>
      <c r="C35" s="1"/>
    </row>
    <row r="36" spans="2:16" hidden="1">
      <c r="B36" s="85"/>
      <c r="C36" s="86"/>
      <c r="D36" s="29"/>
      <c r="E36" s="28"/>
      <c r="F36" s="29"/>
      <c r="G36" s="29"/>
      <c r="H36" s="28"/>
      <c r="I36" s="30"/>
      <c r="J36" s="28"/>
      <c r="K36" s="30"/>
      <c r="L36" s="30"/>
      <c r="M36" s="28"/>
    </row>
    <row r="37" spans="2:16" hidden="1">
      <c r="B37" s="85"/>
      <c r="C37" s="86"/>
      <c r="D37" s="29"/>
      <c r="E37" s="28"/>
      <c r="F37" s="29"/>
    </row>
    <row r="38" spans="2:16" hidden="1">
      <c r="B38" s="1"/>
      <c r="C38" s="1"/>
      <c r="P38" s="6"/>
    </row>
    <row r="39" spans="2:16" hidden="1">
      <c r="B39" s="1"/>
      <c r="C39" s="1"/>
      <c r="P39" s="6"/>
    </row>
    <row r="40" spans="2:16" hidden="1">
      <c r="B40" s="1"/>
      <c r="C40" s="1"/>
      <c r="P40" s="6"/>
    </row>
    <row r="41" spans="2:16" hidden="1">
      <c r="B41" s="1"/>
      <c r="C41" s="1"/>
      <c r="P41" s="6"/>
    </row>
    <row r="42" spans="2:16" hidden="1">
      <c r="B42" s="1"/>
      <c r="C42" s="1"/>
      <c r="P42" s="6"/>
    </row>
    <row r="43" spans="2:16" hidden="1">
      <c r="B43" s="1"/>
      <c r="C43" s="1"/>
      <c r="P43" s="6"/>
    </row>
    <row r="44" spans="2:16" hidden="1">
      <c r="B44" s="1"/>
      <c r="C44" s="1"/>
      <c r="P44" s="6"/>
    </row>
    <row r="45" spans="2:16" hidden="1">
      <c r="B45" s="1"/>
      <c r="C45" s="1"/>
      <c r="P45" s="6"/>
    </row>
    <row r="46" spans="2:16" hidden="1">
      <c r="B46" s="1"/>
      <c r="C46" s="1"/>
      <c r="P46" s="6"/>
    </row>
    <row r="47" spans="2:16" hidden="1">
      <c r="B47" s="1"/>
      <c r="C47" s="1"/>
      <c r="P47" s="6"/>
    </row>
    <row r="48" spans="2:16" hidden="1">
      <c r="B48" s="1"/>
      <c r="C48" s="1"/>
      <c r="P48" s="6"/>
    </row>
    <row r="49" spans="2:16" hidden="1">
      <c r="B49" s="1"/>
      <c r="C49" s="1"/>
      <c r="P49" s="6"/>
    </row>
    <row r="50" spans="2:16" hidden="1">
      <c r="B50" s="1"/>
      <c r="C50" s="1"/>
      <c r="P50" s="6"/>
    </row>
    <row r="51" spans="2:16" hidden="1">
      <c r="B51" s="1"/>
      <c r="C51" s="1"/>
      <c r="P51" s="6"/>
    </row>
    <row r="52" spans="2:16" hidden="1">
      <c r="B52" s="9"/>
      <c r="C52" s="1"/>
      <c r="D52" s="40"/>
      <c r="E52" s="7"/>
      <c r="P52" s="6"/>
    </row>
    <row r="53" spans="2:16" hidden="1">
      <c r="B53" s="1"/>
      <c r="C53" s="1"/>
      <c r="D53" s="40"/>
      <c r="E53" s="7"/>
      <c r="P53" s="6"/>
    </row>
    <row r="54" spans="2:16" hidden="1">
      <c r="B54" s="1"/>
      <c r="C54" s="1"/>
      <c r="D54" s="40"/>
      <c r="E54" s="7"/>
      <c r="P54" s="6"/>
    </row>
    <row r="55" spans="2:16" hidden="1">
      <c r="B55" s="1"/>
      <c r="C55" s="1"/>
      <c r="D55" s="40"/>
      <c r="E55" s="7"/>
      <c r="P55" s="6"/>
    </row>
    <row r="56" spans="2:16" hidden="1">
      <c r="B56" s="1"/>
      <c r="C56" s="1"/>
      <c r="D56" s="40"/>
      <c r="E56" s="7"/>
      <c r="P56" s="6"/>
    </row>
    <row r="57" spans="2:16" hidden="1">
      <c r="B57" s="1"/>
      <c r="C57" s="1"/>
      <c r="D57" s="40"/>
      <c r="E57" s="7"/>
      <c r="F57" s="7"/>
      <c r="P57" s="6"/>
    </row>
    <row r="58" spans="2:16" hidden="1">
      <c r="B58" s="6"/>
      <c r="C58" s="1"/>
      <c r="D58" s="40"/>
      <c r="E58" s="7"/>
      <c r="F58" s="7"/>
      <c r="P58" s="6"/>
    </row>
    <row r="59" spans="2:16" hidden="1">
      <c r="B59" s="1"/>
      <c r="C59" s="1"/>
      <c r="D59" s="40"/>
      <c r="E59" s="7"/>
      <c r="P59" s="6"/>
    </row>
    <row r="60" spans="2:16" hidden="1">
      <c r="B60" s="9"/>
      <c r="C60" s="1"/>
      <c r="D60" s="40"/>
      <c r="E60" s="7"/>
      <c r="F60" s="7"/>
      <c r="P60" s="6"/>
    </row>
    <row r="61" spans="2:16" hidden="1">
      <c r="B61" s="1"/>
      <c r="C61" s="1"/>
      <c r="D61" s="40"/>
      <c r="E61" s="7"/>
      <c r="F61" s="7"/>
      <c r="P61" s="6"/>
    </row>
    <row r="62" spans="2:16" hidden="1">
      <c r="B62" s="6"/>
      <c r="C62" s="1"/>
      <c r="D62" s="40"/>
      <c r="E62" s="7"/>
      <c r="F62" s="7"/>
      <c r="P62" s="6"/>
    </row>
    <row r="63" spans="2:16" hidden="1">
      <c r="B63" s="1"/>
      <c r="C63" s="1"/>
      <c r="D63" s="40"/>
      <c r="E63" s="7"/>
      <c r="P63" s="6"/>
    </row>
    <row r="64" spans="2:16" hidden="1">
      <c r="B64" s="1"/>
      <c r="C64" s="1"/>
      <c r="D64" s="40"/>
      <c r="E64" s="7"/>
      <c r="F64" s="7"/>
      <c r="P64" s="6"/>
    </row>
    <row r="65" spans="2:16" hidden="1">
      <c r="B65" s="9"/>
      <c r="C65" s="1"/>
      <c r="D65" s="40"/>
      <c r="E65" s="7"/>
      <c r="F65" s="10"/>
      <c r="P65" s="6"/>
    </row>
    <row r="66" spans="2:16" hidden="1">
      <c r="B66" s="1"/>
      <c r="C66" s="1"/>
      <c r="D66" s="40"/>
      <c r="E66" s="7"/>
      <c r="P66" s="6"/>
    </row>
    <row r="67" spans="2:16" hidden="1">
      <c r="B67" s="1"/>
      <c r="C67" s="1"/>
      <c r="D67" s="40"/>
      <c r="E67" s="7"/>
    </row>
    <row r="68" spans="2:16" hidden="1">
      <c r="B68" s="1"/>
      <c r="C68" s="1"/>
      <c r="E68" s="9"/>
    </row>
    <row r="69" spans="2:16" hidden="1">
      <c r="B69" s="3"/>
      <c r="C69" s="1"/>
    </row>
    <row r="70" spans="2:16" hidden="1">
      <c r="B70" s="3"/>
    </row>
    <row r="71" spans="2:16" hidden="1"/>
    <row r="72" spans="2:16" hidden="1">
      <c r="B72" s="3"/>
    </row>
    <row r="73" spans="2:16" hidden="1">
      <c r="B73" s="3"/>
    </row>
    <row r="74" spans="2:16" hidden="1">
      <c r="B74" s="3"/>
      <c r="D74" s="10"/>
      <c r="E74" s="10"/>
    </row>
    <row r="75" spans="2:16" hidden="1">
      <c r="D75" s="7"/>
      <c r="E75" s="7"/>
    </row>
    <row r="76" spans="2:16" hidden="1">
      <c r="B76" s="3"/>
      <c r="D76" s="40"/>
      <c r="E76" s="7"/>
    </row>
    <row r="77" spans="2:16" hidden="1">
      <c r="B77" s="3"/>
      <c r="D77" s="40"/>
      <c r="E77" s="7"/>
    </row>
    <row r="78" spans="2:16" hidden="1">
      <c r="B78" s="3"/>
      <c r="D78" s="40"/>
      <c r="E78" s="7"/>
    </row>
    <row r="79" spans="2:16" hidden="1">
      <c r="D79" s="40"/>
      <c r="E79" s="7"/>
    </row>
    <row r="80" spans="2:16" hidden="1">
      <c r="B80" s="3"/>
      <c r="D80" s="40"/>
      <c r="E80" s="7"/>
    </row>
    <row r="81" spans="2:5" hidden="1">
      <c r="B81" s="3"/>
      <c r="D81" s="40"/>
      <c r="E81" s="7"/>
    </row>
    <row r="82" spans="2:5" hidden="1">
      <c r="B82" s="3"/>
      <c r="D82" s="40"/>
      <c r="E82" s="7"/>
    </row>
    <row r="83" spans="2:5" hidden="1"/>
    <row r="84" spans="2:5" hidden="1"/>
    <row r="85" spans="2:5" hidden="1">
      <c r="B85" s="3"/>
    </row>
    <row r="86" spans="2:5" hidden="1">
      <c r="B86" s="3"/>
    </row>
    <row r="87" spans="2:5" hidden="1">
      <c r="B87" s="3"/>
    </row>
    <row r="88" spans="2:5" hidden="1">
      <c r="B88" s="3"/>
    </row>
    <row r="89" spans="2:5" hidden="1"/>
    <row r="90" spans="2:5" hidden="1">
      <c r="B90" s="3"/>
    </row>
    <row r="91" spans="2:5" hidden="1">
      <c r="B91" s="3"/>
    </row>
    <row r="92" spans="2:5" hidden="1">
      <c r="B92" s="3"/>
    </row>
    <row r="93" spans="2:5" hidden="1">
      <c r="B93" s="3"/>
    </row>
    <row r="94" spans="2:5" hidden="1"/>
    <row r="95" spans="2:5" hidden="1">
      <c r="B95" s="3"/>
    </row>
    <row r="96" spans="2:5" hidden="1">
      <c r="B96" s="3"/>
    </row>
    <row r="97" spans="2:8" hidden="1">
      <c r="B97" s="3"/>
    </row>
    <row r="98" spans="2:8" hidden="1">
      <c r="B98" s="3"/>
    </row>
    <row r="99" spans="2:8" hidden="1"/>
    <row r="100" spans="2:8" hidden="1">
      <c r="B100" s="3"/>
    </row>
    <row r="101" spans="2:8" hidden="1">
      <c r="B101" s="3"/>
    </row>
    <row r="102" spans="2:8" hidden="1">
      <c r="B102" s="3"/>
    </row>
    <row r="103" spans="2:8" hidden="1">
      <c r="B103" s="3"/>
    </row>
    <row r="104" spans="2:8" hidden="1">
      <c r="B104" s="3"/>
    </row>
    <row r="105" spans="2:8" hidden="1">
      <c r="B105" s="1"/>
      <c r="H105" s="29"/>
    </row>
    <row r="106" spans="2:8">
      <c r="B106" s="1"/>
    </row>
    <row r="107" spans="2:8">
      <c r="B107" s="1"/>
      <c r="C107" s="196"/>
      <c r="D107" s="278" t="s">
        <v>433</v>
      </c>
      <c r="E107" s="278"/>
      <c r="F107" s="278"/>
      <c r="G107" s="279"/>
    </row>
    <row r="108" spans="2:8">
      <c r="B108" s="1"/>
      <c r="C108" s="97"/>
      <c r="D108" s="94" t="s">
        <v>408</v>
      </c>
      <c r="E108" s="94" t="s">
        <v>407</v>
      </c>
      <c r="F108" s="94" t="s">
        <v>409</v>
      </c>
      <c r="G108" s="186" t="s">
        <v>410</v>
      </c>
    </row>
    <row r="109" spans="2:8">
      <c r="C109" s="133" t="s">
        <v>411</v>
      </c>
      <c r="D109" s="30">
        <f>+C28</f>
        <v>951226.5</v>
      </c>
      <c r="E109" s="30">
        <f>+C29</f>
        <v>989656.05060000008</v>
      </c>
      <c r="F109" s="30">
        <f>+C30</f>
        <v>1029638.1550442401</v>
      </c>
      <c r="G109" s="96">
        <f>+C31</f>
        <v>1071235.5365080272</v>
      </c>
    </row>
    <row r="110" spans="2:8">
      <c r="B110" s="1"/>
      <c r="C110" s="133" t="s">
        <v>412</v>
      </c>
      <c r="D110" s="30">
        <f>+D28</f>
        <v>-565916.4</v>
      </c>
      <c r="E110" s="30">
        <f>-D29*-1</f>
        <v>-577234.728</v>
      </c>
      <c r="F110" s="30">
        <f>+D30</f>
        <v>-588779.42255999998</v>
      </c>
      <c r="G110" s="96">
        <f>+D31</f>
        <v>-600555.01101120003</v>
      </c>
    </row>
    <row r="111" spans="2:8">
      <c r="B111" s="1"/>
      <c r="C111" s="95" t="s">
        <v>413</v>
      </c>
      <c r="D111" s="30">
        <f>+F28</f>
        <v>-88400</v>
      </c>
      <c r="E111" s="30">
        <f>+F29</f>
        <v>-88400</v>
      </c>
      <c r="F111" s="30">
        <f>+F30</f>
        <v>-88400</v>
      </c>
      <c r="G111" s="96">
        <f>+F31</f>
        <v>-88400</v>
      </c>
    </row>
    <row r="112" spans="2:8" hidden="1">
      <c r="B112" s="1"/>
      <c r="C112" s="133" t="s">
        <v>414</v>
      </c>
      <c r="D112" s="30">
        <f>+G28</f>
        <v>0</v>
      </c>
      <c r="E112" s="30">
        <f>+G29</f>
        <v>0</v>
      </c>
      <c r="F112" s="30">
        <f>+G30</f>
        <v>0</v>
      </c>
      <c r="G112" s="96">
        <f>+G31</f>
        <v>0</v>
      </c>
    </row>
    <row r="113" spans="2:7">
      <c r="B113" s="1"/>
      <c r="C113" s="197" t="s">
        <v>435</v>
      </c>
      <c r="D113" s="28">
        <f>+SUM(D109:D112)</f>
        <v>296910.09999999998</v>
      </c>
      <c r="E113" s="28">
        <f>+SUM(E109:E112)</f>
        <v>324021.32260000007</v>
      </c>
      <c r="F113" s="28">
        <f>+SUM(F109:F112)</f>
        <v>352458.73248424008</v>
      </c>
      <c r="G113" s="98">
        <f>+SUM(G109:G112)</f>
        <v>382280.52549682721</v>
      </c>
    </row>
    <row r="114" spans="2:7">
      <c r="B114" s="1"/>
      <c r="C114" s="133" t="s">
        <v>416</v>
      </c>
      <c r="D114" s="30">
        <f>-D113*C2+'Pagos iniciales'!E74+'Pagos iniciales'!E82</f>
        <v>-86181.029999999984</v>
      </c>
      <c r="E114" s="30">
        <f>-E113*C2</f>
        <v>-97206.396780000025</v>
      </c>
      <c r="F114" s="30">
        <f>-F113*C2</f>
        <v>-105737.61974527202</v>
      </c>
      <c r="G114" s="96">
        <f>+G113*C2*-1</f>
        <v>-114684.15764904815</v>
      </c>
    </row>
    <row r="115" spans="2:7">
      <c r="B115" s="1"/>
      <c r="C115" s="197" t="s">
        <v>436</v>
      </c>
      <c r="D115" s="28">
        <f>+D113+D114</f>
        <v>210729.07</v>
      </c>
      <c r="E115" s="28">
        <f t="shared" ref="E115:G115" si="11">+E113+E114</f>
        <v>226814.92582000006</v>
      </c>
      <c r="F115" s="28">
        <f t="shared" si="11"/>
        <v>246721.11273896805</v>
      </c>
      <c r="G115" s="98">
        <f t="shared" si="11"/>
        <v>267596.36784777907</v>
      </c>
    </row>
    <row r="116" spans="2:7">
      <c r="B116" s="1"/>
      <c r="C116" s="133" t="s">
        <v>417</v>
      </c>
      <c r="D116" s="30">
        <f>-D111</f>
        <v>88400</v>
      </c>
      <c r="E116" s="30">
        <f t="shared" ref="E116:G116" si="12">-E111</f>
        <v>88400</v>
      </c>
      <c r="F116" s="30">
        <f t="shared" si="12"/>
        <v>88400</v>
      </c>
      <c r="G116" s="96">
        <f t="shared" si="12"/>
        <v>88400</v>
      </c>
    </row>
    <row r="117" spans="2:7" hidden="1">
      <c r="B117" s="1"/>
      <c r="C117" s="133" t="s">
        <v>414</v>
      </c>
      <c r="D117" s="30">
        <f>+L28</f>
        <v>0</v>
      </c>
      <c r="E117" s="30">
        <f>+L29</f>
        <v>0</v>
      </c>
      <c r="F117" s="30">
        <f>+L30</f>
        <v>0</v>
      </c>
      <c r="G117" s="96">
        <f>+L31</f>
        <v>0</v>
      </c>
    </row>
    <row r="118" spans="2:7">
      <c r="B118" s="1"/>
      <c r="C118" s="197" t="s">
        <v>419</v>
      </c>
      <c r="D118" s="30">
        <f>+D115+D116+D117</f>
        <v>299129.07</v>
      </c>
      <c r="E118" s="30">
        <f>+E115+E116+E117</f>
        <v>315214.92582000006</v>
      </c>
      <c r="F118" s="30">
        <f>+F115+F116+F117</f>
        <v>335121.11273896805</v>
      </c>
      <c r="G118" s="96">
        <f>+G115+G116+G117</f>
        <v>355996.36784777907</v>
      </c>
    </row>
    <row r="119" spans="2:7">
      <c r="B119" s="1"/>
      <c r="C119" s="198" t="s">
        <v>418</v>
      </c>
      <c r="D119" s="30">
        <f>+X28</f>
        <v>95122.650000000009</v>
      </c>
      <c r="E119" s="30">
        <f>+X29</f>
        <v>3842.9550600000075</v>
      </c>
      <c r="F119" s="30">
        <f>+X30</f>
        <v>3998.2104444239958</v>
      </c>
      <c r="G119" s="96">
        <f>+X31</f>
        <v>4159.7381463787169</v>
      </c>
    </row>
    <row r="120" spans="2:7">
      <c r="C120" s="199" t="s">
        <v>434</v>
      </c>
      <c r="D120" s="146">
        <f>+D118-D119</f>
        <v>204006.41999999998</v>
      </c>
      <c r="E120" s="146">
        <f t="shared" ref="E120:G120" si="13">+E118-E119</f>
        <v>311371.97076000005</v>
      </c>
      <c r="F120" s="146">
        <f t="shared" si="13"/>
        <v>331122.90229454404</v>
      </c>
      <c r="G120" s="111">
        <f t="shared" si="13"/>
        <v>351836.62970140035</v>
      </c>
    </row>
    <row r="122" spans="2:7">
      <c r="B122" s="208" t="s">
        <v>420</v>
      </c>
      <c r="C122" s="209"/>
      <c r="D122" s="201"/>
    </row>
    <row r="123" spans="2:7">
      <c r="B123" s="190"/>
      <c r="C123" s="86"/>
      <c r="D123" s="96" t="s">
        <v>7</v>
      </c>
    </row>
    <row r="124" spans="2:7">
      <c r="B124" s="95" t="s">
        <v>421</v>
      </c>
      <c r="C124" s="86"/>
      <c r="D124" s="98">
        <f>+W31</f>
        <v>107123.55365080273</v>
      </c>
    </row>
    <row r="125" spans="2:7">
      <c r="B125" s="95" t="s">
        <v>422</v>
      </c>
      <c r="C125" s="86"/>
      <c r="D125" s="96">
        <f>+'Pagos iniciales'!F9*'Pagos iniciales'!F17-Gastos!G79*'neutral valoracion'!D19</f>
        <v>686400</v>
      </c>
    </row>
    <row r="126" spans="2:7">
      <c r="B126" s="95" t="s">
        <v>423</v>
      </c>
      <c r="C126" s="86"/>
      <c r="D126" s="96">
        <f>+'Pagos iniciales'!F8*'Pagos iniciales'!F16-Gastos!G80*'neutral valoracion'!D19</f>
        <v>176000</v>
      </c>
    </row>
    <row r="127" spans="2:7">
      <c r="B127" s="190" t="s">
        <v>424</v>
      </c>
      <c r="C127" s="86"/>
      <c r="D127" s="98">
        <f>+D125</f>
        <v>686400</v>
      </c>
    </row>
    <row r="128" spans="2:7">
      <c r="B128" s="190" t="s">
        <v>425</v>
      </c>
      <c r="C128" s="86"/>
      <c r="D128" s="98">
        <f>+D126</f>
        <v>176000</v>
      </c>
    </row>
    <row r="129" spans="2:4">
      <c r="B129" s="97"/>
      <c r="C129" s="86"/>
      <c r="D129" s="204"/>
    </row>
    <row r="130" spans="2:4">
      <c r="B130" s="191" t="s">
        <v>426</v>
      </c>
      <c r="C130" s="102"/>
      <c r="D130" s="194">
        <f>+D128+D127+D124</f>
        <v>969523.5536508027</v>
      </c>
    </row>
    <row r="132" spans="2:4">
      <c r="B132" s="4" t="s">
        <v>427</v>
      </c>
    </row>
    <row r="133" spans="2:4">
      <c r="C133" s="196"/>
      <c r="D133" s="186" t="s">
        <v>234</v>
      </c>
    </row>
    <row r="134" spans="2:4">
      <c r="C134" s="197" t="s">
        <v>71</v>
      </c>
      <c r="D134" s="98" t="s">
        <v>428</v>
      </c>
    </row>
    <row r="135" spans="2:4">
      <c r="C135" s="134">
        <v>1</v>
      </c>
      <c r="D135" s="96">
        <f>+D120</f>
        <v>204006.41999999998</v>
      </c>
    </row>
    <row r="136" spans="2:4">
      <c r="C136" s="134">
        <v>2</v>
      </c>
      <c r="D136" s="96">
        <f>+E120</f>
        <v>311371.97076000005</v>
      </c>
    </row>
    <row r="137" spans="2:4">
      <c r="C137" s="134">
        <v>3</v>
      </c>
      <c r="D137" s="96">
        <f>+F120</f>
        <v>331122.90229454404</v>
      </c>
    </row>
    <row r="138" spans="2:4">
      <c r="C138" s="135">
        <v>4</v>
      </c>
      <c r="D138" s="138">
        <f>+G120+D130</f>
        <v>1321360.1833522031</v>
      </c>
    </row>
    <row r="139" spans="2:4">
      <c r="C139" s="10" t="s">
        <v>100</v>
      </c>
    </row>
    <row r="140" spans="2:4">
      <c r="B140" s="10" t="s">
        <v>291</v>
      </c>
      <c r="C140" s="7" t="e">
        <f>+#REF!</f>
        <v>#REF!</v>
      </c>
    </row>
    <row r="141" spans="2:4">
      <c r="C141" s="7" t="s">
        <v>10</v>
      </c>
    </row>
    <row r="142" spans="2:4" ht="13.5">
      <c r="B142" s="25" t="s">
        <v>333</v>
      </c>
      <c r="C142" s="10" t="e">
        <f>+NPV(C140/100,D135:D138)</f>
        <v>#REF!</v>
      </c>
    </row>
    <row r="143" spans="2:4">
      <c r="C143" s="7" t="s">
        <v>10</v>
      </c>
    </row>
    <row r="144" spans="2:4">
      <c r="B144" s="25" t="s">
        <v>295</v>
      </c>
      <c r="C144" s="10" t="e">
        <f>+C142+E18</f>
        <v>#REF!</v>
      </c>
    </row>
  </sheetData>
  <mergeCells count="3">
    <mergeCell ref="Q24:X24"/>
    <mergeCell ref="C25:M25"/>
    <mergeCell ref="D107:G107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6:M91"/>
  <sheetViews>
    <sheetView topLeftCell="A43" workbookViewId="0">
      <selection activeCell="J85" sqref="J85"/>
    </sheetView>
  </sheetViews>
  <sheetFormatPr baseColWidth="10" defaultRowHeight="12"/>
  <cols>
    <col min="1" max="1" width="9.28515625" style="1" customWidth="1"/>
    <col min="2" max="2" width="24.7109375" style="1" customWidth="1"/>
    <col min="3" max="3" width="14.85546875" style="1" customWidth="1"/>
    <col min="4" max="4" width="14.7109375" style="1" customWidth="1"/>
    <col min="5" max="5" width="12.5703125" style="1" customWidth="1"/>
    <col min="6" max="8" width="11.42578125" style="1"/>
    <col min="9" max="9" width="11.7109375" style="1" bestFit="1" customWidth="1"/>
    <col min="10" max="10" width="11.42578125" style="1"/>
    <col min="11" max="11" width="13" style="1" bestFit="1" customWidth="1"/>
    <col min="12" max="12" width="11.42578125" style="1"/>
    <col min="13" max="13" width="13.42578125" style="1" customWidth="1"/>
    <col min="14" max="16384" width="11.42578125" style="1"/>
  </cols>
  <sheetData>
    <row r="6" spans="2:11">
      <c r="B6" s="1" t="s">
        <v>441</v>
      </c>
      <c r="C6" s="1">
        <v>-1639696.8</v>
      </c>
    </row>
    <row r="10" spans="2:11">
      <c r="B10" s="136"/>
      <c r="C10" s="249"/>
      <c r="D10" s="249"/>
      <c r="E10" s="228"/>
      <c r="I10" s="63"/>
      <c r="J10" s="236"/>
      <c r="K10" s="63"/>
    </row>
    <row r="11" spans="2:11">
      <c r="B11" s="246"/>
      <c r="C11" s="159"/>
      <c r="D11" s="158"/>
      <c r="E11" s="247"/>
      <c r="I11" s="63"/>
      <c r="J11" s="236"/>
      <c r="K11" s="63"/>
    </row>
    <row r="12" spans="2:11">
      <c r="B12" s="248"/>
      <c r="C12" s="159"/>
      <c r="D12" s="158"/>
      <c r="E12" s="215"/>
    </row>
    <row r="13" spans="2:11">
      <c r="B13" s="246" t="s">
        <v>299</v>
      </c>
      <c r="C13" s="159"/>
      <c r="D13" s="220"/>
      <c r="E13" s="215"/>
    </row>
    <row r="14" spans="2:11">
      <c r="B14" s="241" t="s">
        <v>291</v>
      </c>
      <c r="C14" s="220" t="e">
        <f>+#REF!</f>
        <v>#REF!</v>
      </c>
      <c r="D14" s="159"/>
      <c r="E14" s="247"/>
    </row>
    <row r="15" spans="2:11">
      <c r="B15" s="214" t="s">
        <v>300</v>
      </c>
      <c r="C15" s="220">
        <v>5</v>
      </c>
      <c r="D15" s="159"/>
      <c r="E15" s="247"/>
    </row>
    <row r="16" spans="2:11">
      <c r="B16" s="214"/>
      <c r="C16" s="220"/>
      <c r="D16" s="159"/>
      <c r="E16" s="247"/>
    </row>
    <row r="17" spans="2:13">
      <c r="B17" s="214"/>
      <c r="C17" s="220" t="s">
        <v>100</v>
      </c>
      <c r="D17" s="158" t="s">
        <v>316</v>
      </c>
      <c r="E17" s="247"/>
    </row>
    <row r="18" spans="2:13">
      <c r="B18" s="214" t="s">
        <v>315</v>
      </c>
      <c r="C18" s="220">
        <f>+D22*E22+D23*E23+D24*E24</f>
        <v>5.293521569579128</v>
      </c>
      <c r="D18" s="221">
        <f>+C18/100</f>
        <v>5.2935215695791279E-2</v>
      </c>
      <c r="E18" s="247"/>
    </row>
    <row r="19" spans="2:13">
      <c r="B19" s="231"/>
      <c r="C19" s="232"/>
      <c r="D19" s="233"/>
      <c r="E19" s="234"/>
    </row>
    <row r="20" spans="2:13">
      <c r="B20" s="225" t="s">
        <v>307</v>
      </c>
      <c r="C20" s="226"/>
      <c r="D20" s="227" t="s">
        <v>100</v>
      </c>
      <c r="E20" s="228"/>
    </row>
    <row r="21" spans="2:13">
      <c r="B21" s="229"/>
      <c r="C21" s="220" t="s">
        <v>309</v>
      </c>
      <c r="D21" s="155" t="s">
        <v>311</v>
      </c>
      <c r="E21" s="215" t="s">
        <v>312</v>
      </c>
    </row>
    <row r="22" spans="2:13">
      <c r="B22" s="230" t="s">
        <v>308</v>
      </c>
      <c r="C22" s="155">
        <f>+'fuentes de financiacion'!D5</f>
        <v>945496.8</v>
      </c>
      <c r="D22" s="158">
        <v>5.85</v>
      </c>
      <c r="E22" s="215">
        <f>+C22/C$26</f>
        <v>0.55140757246412309</v>
      </c>
    </row>
    <row r="23" spans="2:13">
      <c r="B23" s="230" t="s">
        <v>313</v>
      </c>
      <c r="C23" s="155">
        <f>+'fuentes de financiacion'!D7</f>
        <v>75000</v>
      </c>
      <c r="D23" s="158">
        <v>5.85</v>
      </c>
      <c r="E23" s="215">
        <f t="shared" ref="E23:E24" si="0">+C23/C$26</f>
        <v>4.3739511265198601E-2</v>
      </c>
    </row>
    <row r="24" spans="2:13">
      <c r="B24" s="230" t="s">
        <v>310</v>
      </c>
      <c r="C24" s="155">
        <f>+'fuentes de financiacion'!D10</f>
        <v>694200</v>
      </c>
      <c r="D24" s="158">
        <f>+'tabla contable'!H307*(1-'neutral valoracion'!C2)*100</f>
        <v>4.4754800001272095</v>
      </c>
      <c r="E24" s="215">
        <f t="shared" si="0"/>
        <v>0.40485291627067826</v>
      </c>
    </row>
    <row r="25" spans="2:13">
      <c r="B25" s="230"/>
      <c r="C25" s="222"/>
      <c r="D25" s="158"/>
      <c r="E25" s="215"/>
    </row>
    <row r="26" spans="2:13">
      <c r="B26" s="231" t="s">
        <v>314</v>
      </c>
      <c r="C26" s="232">
        <f>+SUM(C22:C25)</f>
        <v>1714696.8</v>
      </c>
      <c r="D26" s="233"/>
      <c r="E26" s="234"/>
    </row>
    <row r="28" spans="2:13">
      <c r="B28" s="143" t="s">
        <v>304</v>
      </c>
    </row>
    <row r="29" spans="2:13" ht="12.75" thickBot="1"/>
    <row r="30" spans="2:13">
      <c r="B30" s="9" t="s">
        <v>283</v>
      </c>
      <c r="G30" s="49"/>
      <c r="H30" s="18" t="s">
        <v>100</v>
      </c>
      <c r="I30" s="33" t="s">
        <v>439</v>
      </c>
      <c r="J30" s="17"/>
      <c r="K30" s="17"/>
      <c r="L30" s="17"/>
      <c r="M30" s="78"/>
    </row>
    <row r="31" spans="2:13">
      <c r="G31" s="80" t="s">
        <v>321</v>
      </c>
      <c r="H31" s="28">
        <f>+C$18</f>
        <v>5.293521569579128</v>
      </c>
      <c r="I31" s="32" t="s">
        <v>438</v>
      </c>
      <c r="J31" s="29"/>
      <c r="K31" s="29"/>
      <c r="L31" s="29"/>
      <c r="M31" s="89"/>
    </row>
    <row r="32" spans="2:13">
      <c r="D32" s="136"/>
      <c r="E32" s="137" t="s">
        <v>285</v>
      </c>
      <c r="G32" s="88"/>
      <c r="H32" s="29"/>
      <c r="I32" s="32" t="s">
        <v>440</v>
      </c>
      <c r="J32" s="29"/>
      <c r="K32" s="29"/>
      <c r="L32" s="29"/>
      <c r="M32" s="89"/>
    </row>
    <row r="33" spans="2:13">
      <c r="D33" s="133" t="s">
        <v>71</v>
      </c>
      <c r="E33" s="96" t="s">
        <v>284</v>
      </c>
      <c r="G33" s="88"/>
      <c r="H33" s="29"/>
      <c r="I33" s="47" t="s">
        <v>324</v>
      </c>
      <c r="J33" s="29"/>
      <c r="K33" s="29"/>
      <c r="L33" s="29"/>
      <c r="M33" s="89"/>
    </row>
    <row r="34" spans="2:13">
      <c r="D34" s="134">
        <v>0</v>
      </c>
      <c r="E34" s="96">
        <f>C6</f>
        <v>-1639696.8</v>
      </c>
      <c r="G34" s="88"/>
      <c r="H34" s="29"/>
      <c r="I34" s="32" t="s">
        <v>325</v>
      </c>
      <c r="J34" s="29"/>
      <c r="K34" s="29"/>
      <c r="L34" s="29"/>
      <c r="M34" s="89"/>
    </row>
    <row r="35" spans="2:13">
      <c r="D35" s="134">
        <v>1</v>
      </c>
      <c r="E35" s="96">
        <f>+'neutral valoracion'!D63</f>
        <v>182225.22</v>
      </c>
      <c r="G35" s="88"/>
      <c r="H35" s="29"/>
      <c r="I35" s="29"/>
      <c r="J35" s="29"/>
      <c r="K35" s="29"/>
      <c r="L35" s="29"/>
      <c r="M35" s="89"/>
    </row>
    <row r="36" spans="2:13">
      <c r="D36" s="134">
        <v>2</v>
      </c>
      <c r="E36" s="96">
        <f>+'neutral valoracion'!D64</f>
        <v>284408.51556000003</v>
      </c>
      <c r="G36" s="88"/>
      <c r="H36" s="30" t="s">
        <v>10</v>
      </c>
      <c r="I36" s="47" t="s">
        <v>326</v>
      </c>
      <c r="J36" s="29"/>
      <c r="K36" s="29"/>
      <c r="L36" s="29"/>
      <c r="M36" s="89"/>
    </row>
    <row r="37" spans="2:13" ht="13.5">
      <c r="D37" s="134">
        <v>3</v>
      </c>
      <c r="E37" s="96">
        <f>+'neutral valoracion'!D65</f>
        <v>303070.12350446405</v>
      </c>
      <c r="G37" s="80" t="s">
        <v>294</v>
      </c>
      <c r="H37" s="28">
        <f>+NPV(H31/100,E35:E38)</f>
        <v>1737074.0345786919</v>
      </c>
      <c r="I37" s="47" t="s">
        <v>327</v>
      </c>
      <c r="J37" s="29"/>
      <c r="K37" s="29"/>
      <c r="L37" s="29"/>
      <c r="M37" s="89"/>
    </row>
    <row r="38" spans="2:13">
      <c r="D38" s="134">
        <v>4</v>
      </c>
      <c r="E38" s="96">
        <f>+'neutral valoracion'!D66</f>
        <v>1287981.3696120842</v>
      </c>
      <c r="G38" s="88"/>
      <c r="H38" s="29"/>
      <c r="I38" s="47"/>
      <c r="J38" s="29"/>
      <c r="K38" s="29"/>
      <c r="L38" s="29"/>
      <c r="M38" s="89"/>
    </row>
    <row r="39" spans="2:13">
      <c r="D39" s="250"/>
      <c r="E39" s="94"/>
      <c r="G39" s="88"/>
      <c r="H39" s="29"/>
      <c r="I39" s="29"/>
      <c r="J39" s="29"/>
      <c r="K39" s="29"/>
      <c r="L39" s="29"/>
      <c r="M39" s="89"/>
    </row>
    <row r="40" spans="2:13">
      <c r="D40" s="85"/>
      <c r="E40" s="30"/>
      <c r="G40" s="88"/>
      <c r="H40" s="30" t="s">
        <v>10</v>
      </c>
      <c r="I40" s="47" t="s">
        <v>302</v>
      </c>
      <c r="J40" s="29"/>
      <c r="K40" s="29"/>
      <c r="L40" s="29"/>
      <c r="M40" s="89"/>
    </row>
    <row r="41" spans="2:13">
      <c r="D41" s="85"/>
      <c r="E41" s="30"/>
      <c r="G41" s="80" t="s">
        <v>301</v>
      </c>
      <c r="H41" s="28">
        <f>+H37+E34</f>
        <v>97377.234578691889</v>
      </c>
      <c r="I41" s="32" t="s">
        <v>303</v>
      </c>
      <c r="J41" s="29"/>
      <c r="K41" s="29"/>
      <c r="L41" s="29"/>
      <c r="M41" s="89"/>
    </row>
    <row r="42" spans="2:13">
      <c r="D42" s="40"/>
      <c r="E42" s="7"/>
      <c r="G42" s="88"/>
      <c r="H42" s="29"/>
      <c r="I42" s="47" t="s">
        <v>317</v>
      </c>
      <c r="J42" s="29"/>
      <c r="K42" s="29"/>
      <c r="L42" s="29"/>
      <c r="M42" s="89"/>
    </row>
    <row r="43" spans="2:13">
      <c r="D43" s="40"/>
      <c r="E43" s="7"/>
      <c r="G43" s="88"/>
      <c r="H43" s="29"/>
      <c r="I43" s="47" t="s">
        <v>318</v>
      </c>
      <c r="J43" s="29"/>
      <c r="K43" s="29"/>
      <c r="L43" s="29"/>
      <c r="M43" s="89"/>
    </row>
    <row r="44" spans="2:13">
      <c r="D44" s="40"/>
      <c r="E44" s="7"/>
      <c r="G44" s="88"/>
      <c r="H44" s="29"/>
      <c r="I44" s="47" t="s">
        <v>319</v>
      </c>
      <c r="J44" s="29"/>
      <c r="K44" s="29"/>
      <c r="L44" s="29"/>
      <c r="M44" s="89"/>
    </row>
    <row r="45" spans="2:13" ht="12.75" thickBot="1">
      <c r="B45" s="9"/>
      <c r="D45" s="40"/>
      <c r="E45" s="7"/>
      <c r="G45" s="51"/>
      <c r="H45" s="20"/>
      <c r="I45" s="141" t="s">
        <v>320</v>
      </c>
      <c r="J45" s="20"/>
      <c r="K45" s="20"/>
      <c r="L45" s="20"/>
      <c r="M45" s="90"/>
    </row>
    <row r="46" spans="2:13" ht="12.75" thickBot="1"/>
    <row r="47" spans="2:13">
      <c r="G47" s="49"/>
      <c r="H47" s="18" t="s">
        <v>100</v>
      </c>
      <c r="I47" s="33" t="s">
        <v>439</v>
      </c>
      <c r="J47" s="17"/>
      <c r="K47" s="17"/>
      <c r="L47" s="17"/>
      <c r="M47" s="78"/>
    </row>
    <row r="48" spans="2:13">
      <c r="B48" s="143" t="s">
        <v>305</v>
      </c>
      <c r="G48" s="80" t="s">
        <v>321</v>
      </c>
      <c r="H48" s="28">
        <f>+C$18</f>
        <v>5.293521569579128</v>
      </c>
      <c r="I48" s="32" t="s">
        <v>438</v>
      </c>
      <c r="J48" s="29"/>
      <c r="K48" s="29"/>
      <c r="L48" s="29"/>
      <c r="M48" s="89"/>
    </row>
    <row r="49" spans="2:13">
      <c r="D49" s="136"/>
      <c r="E49" s="137" t="s">
        <v>285</v>
      </c>
      <c r="G49" s="88"/>
      <c r="H49" s="29"/>
      <c r="I49" s="32" t="s">
        <v>323</v>
      </c>
      <c r="J49" s="29"/>
      <c r="K49" s="29"/>
      <c r="L49" s="29"/>
      <c r="M49" s="89"/>
    </row>
    <row r="50" spans="2:13">
      <c r="D50" s="133" t="s">
        <v>71</v>
      </c>
      <c r="E50" s="96" t="s">
        <v>284</v>
      </c>
      <c r="G50" s="88"/>
      <c r="H50" s="29"/>
      <c r="I50" s="47" t="s">
        <v>324</v>
      </c>
      <c r="J50" s="29"/>
      <c r="K50" s="29"/>
      <c r="L50" s="29"/>
      <c r="M50" s="89"/>
    </row>
    <row r="51" spans="2:13">
      <c r="D51" s="134">
        <v>0</v>
      </c>
      <c r="E51" s="96">
        <f>C6</f>
        <v>-1639696.8</v>
      </c>
      <c r="G51" s="88"/>
      <c r="H51" s="29"/>
      <c r="I51" s="32" t="s">
        <v>325</v>
      </c>
      <c r="J51" s="29"/>
      <c r="K51" s="29"/>
      <c r="L51" s="29"/>
      <c r="M51" s="89"/>
    </row>
    <row r="52" spans="2:13">
      <c r="D52" s="134">
        <v>1</v>
      </c>
      <c r="E52" s="96">
        <f>+'negativo valoracion'!D62</f>
        <v>-14894.040000000008</v>
      </c>
      <c r="G52" s="88"/>
      <c r="H52" s="29"/>
      <c r="I52" s="29"/>
      <c r="J52" s="29"/>
      <c r="K52" s="29"/>
      <c r="L52" s="29"/>
      <c r="M52" s="89"/>
    </row>
    <row r="53" spans="2:13">
      <c r="D53" s="134">
        <v>2</v>
      </c>
      <c r="E53" s="96">
        <f>+'negativo valoracion'!D63</f>
        <v>50635.358976000054</v>
      </c>
      <c r="G53" s="88"/>
      <c r="H53" s="30" t="s">
        <v>10</v>
      </c>
      <c r="I53" s="47" t="s">
        <v>326</v>
      </c>
      <c r="J53" s="29"/>
      <c r="K53" s="29"/>
      <c r="L53" s="29"/>
      <c r="M53" s="89"/>
    </row>
    <row r="54" spans="2:13" ht="13.5">
      <c r="D54" s="134">
        <v>3</v>
      </c>
      <c r="E54" s="96">
        <f>+'negativo valoracion'!D64</f>
        <v>59852.531394470483</v>
      </c>
      <c r="G54" s="80" t="s">
        <v>294</v>
      </c>
      <c r="H54" s="28">
        <f>+NPV(H48/100,E52:E58)</f>
        <v>895216.09186890232</v>
      </c>
      <c r="I54" s="47" t="s">
        <v>327</v>
      </c>
      <c r="J54" s="29"/>
      <c r="K54" s="29"/>
      <c r="L54" s="29"/>
      <c r="M54" s="89"/>
    </row>
    <row r="55" spans="2:13">
      <c r="D55" s="134">
        <v>4</v>
      </c>
      <c r="E55" s="96">
        <f>+'negativo valoracion'!D65</f>
        <v>998587.05448525143</v>
      </c>
      <c r="G55" s="88"/>
      <c r="H55" s="29"/>
      <c r="I55" s="47"/>
      <c r="J55" s="29"/>
      <c r="K55" s="29"/>
      <c r="L55" s="29"/>
      <c r="M55" s="89"/>
    </row>
    <row r="56" spans="2:13">
      <c r="D56" s="250"/>
      <c r="E56" s="94"/>
      <c r="G56" s="88"/>
      <c r="H56" s="29"/>
      <c r="I56" s="29"/>
      <c r="J56" s="29"/>
      <c r="K56" s="29"/>
      <c r="L56" s="29"/>
      <c r="M56" s="89"/>
    </row>
    <row r="57" spans="2:13">
      <c r="D57" s="85"/>
      <c r="E57" s="30"/>
      <c r="G57" s="88"/>
      <c r="H57" s="30" t="s">
        <v>10</v>
      </c>
      <c r="I57" s="47" t="s">
        <v>328</v>
      </c>
      <c r="J57" s="29"/>
      <c r="K57" s="29"/>
      <c r="L57" s="29"/>
      <c r="M57" s="89"/>
    </row>
    <row r="58" spans="2:13">
      <c r="D58" s="85"/>
      <c r="E58" s="30"/>
      <c r="G58" s="80" t="s">
        <v>301</v>
      </c>
      <c r="H58" s="28">
        <f>+H54+E51</f>
        <v>-744480.70813109772</v>
      </c>
      <c r="I58" s="32" t="s">
        <v>329</v>
      </c>
      <c r="J58" s="29"/>
      <c r="K58" s="29"/>
      <c r="L58" s="29"/>
      <c r="M58" s="89"/>
    </row>
    <row r="59" spans="2:13">
      <c r="G59" s="88"/>
      <c r="H59" s="29"/>
      <c r="I59" s="47" t="s">
        <v>330</v>
      </c>
      <c r="J59" s="29"/>
      <c r="K59" s="29"/>
      <c r="L59" s="29"/>
      <c r="M59" s="89"/>
    </row>
    <row r="60" spans="2:13">
      <c r="G60" s="88"/>
      <c r="H60" s="29"/>
      <c r="I60" s="47" t="s">
        <v>331</v>
      </c>
      <c r="J60" s="29"/>
      <c r="K60" s="29"/>
      <c r="L60" s="29"/>
      <c r="M60" s="89"/>
    </row>
    <row r="61" spans="2:13" ht="12.75" thickBot="1">
      <c r="G61" s="51"/>
      <c r="H61" s="20"/>
      <c r="I61" s="141" t="s">
        <v>332</v>
      </c>
      <c r="J61" s="20"/>
      <c r="K61" s="20"/>
      <c r="L61" s="20"/>
      <c r="M61" s="90"/>
    </row>
    <row r="62" spans="2:13">
      <c r="G62" s="17"/>
      <c r="H62" s="17"/>
      <c r="I62" s="145"/>
      <c r="J62" s="17"/>
      <c r="K62" s="17"/>
      <c r="L62" s="17"/>
      <c r="M62" s="17"/>
    </row>
    <row r="63" spans="2:13" ht="12.75" thickBot="1">
      <c r="B63" s="144" t="s">
        <v>306</v>
      </c>
      <c r="G63" s="28"/>
      <c r="H63" s="28"/>
      <c r="I63" s="32"/>
      <c r="J63" s="29"/>
      <c r="K63" s="29"/>
      <c r="L63" s="29"/>
      <c r="M63" s="29"/>
    </row>
    <row r="64" spans="2:13">
      <c r="D64" s="136"/>
      <c r="E64" s="137" t="s">
        <v>285</v>
      </c>
      <c r="G64" s="49"/>
      <c r="H64" s="18" t="s">
        <v>100</v>
      </c>
      <c r="I64" s="33" t="s">
        <v>322</v>
      </c>
      <c r="J64" s="17"/>
      <c r="K64" s="17"/>
      <c r="L64" s="17"/>
      <c r="M64" s="78"/>
    </row>
    <row r="65" spans="2:13">
      <c r="D65" s="133" t="s">
        <v>71</v>
      </c>
      <c r="E65" s="96" t="s">
        <v>284</v>
      </c>
      <c r="G65" s="80" t="s">
        <v>321</v>
      </c>
      <c r="H65" s="28">
        <f>+C$18</f>
        <v>5.293521569579128</v>
      </c>
      <c r="I65" s="32" t="s">
        <v>438</v>
      </c>
      <c r="J65" s="29"/>
      <c r="K65" s="29"/>
      <c r="L65" s="29"/>
      <c r="M65" s="89"/>
    </row>
    <row r="66" spans="2:13">
      <c r="D66" s="134">
        <v>0</v>
      </c>
      <c r="E66" s="96">
        <f>C6</f>
        <v>-1639696.8</v>
      </c>
      <c r="G66" s="88"/>
      <c r="H66" s="29"/>
      <c r="I66" s="32" t="s">
        <v>323</v>
      </c>
      <c r="J66" s="29"/>
      <c r="K66" s="29"/>
      <c r="L66" s="29"/>
      <c r="M66" s="89"/>
    </row>
    <row r="67" spans="2:13">
      <c r="D67" s="134">
        <v>1</v>
      </c>
      <c r="E67" s="96">
        <f>+'positivo valoracion'!D135</f>
        <v>204006.41999999998</v>
      </c>
      <c r="G67" s="88"/>
      <c r="H67" s="29"/>
      <c r="I67" s="47" t="s">
        <v>324</v>
      </c>
      <c r="J67" s="29"/>
      <c r="K67" s="29"/>
      <c r="L67" s="29"/>
      <c r="M67" s="89"/>
    </row>
    <row r="68" spans="2:13">
      <c r="D68" s="134">
        <v>2</v>
      </c>
      <c r="E68" s="96">
        <f>+'positivo valoracion'!D136</f>
        <v>311371.97076000005</v>
      </c>
      <c r="G68" s="88"/>
      <c r="H68" s="29"/>
      <c r="I68" s="32" t="s">
        <v>325</v>
      </c>
      <c r="J68" s="29"/>
      <c r="K68" s="29"/>
      <c r="L68" s="29"/>
      <c r="M68" s="89"/>
    </row>
    <row r="69" spans="2:13">
      <c r="D69" s="134">
        <v>3</v>
      </c>
      <c r="E69" s="96">
        <f>+'positivo valoracion'!D137</f>
        <v>331122.90229454404</v>
      </c>
      <c r="G69" s="88"/>
      <c r="H69" s="29"/>
      <c r="I69" s="29"/>
      <c r="J69" s="29"/>
      <c r="K69" s="29"/>
      <c r="L69" s="29"/>
      <c r="M69" s="89"/>
    </row>
    <row r="70" spans="2:13">
      <c r="D70" s="134">
        <v>4</v>
      </c>
      <c r="E70" s="96">
        <f>+'positivo valoracion'!D138</f>
        <v>1321360.1833522031</v>
      </c>
      <c r="G70" s="88"/>
      <c r="H70" s="30" t="s">
        <v>10</v>
      </c>
      <c r="I70" s="47" t="s">
        <v>326</v>
      </c>
      <c r="J70" s="29"/>
      <c r="K70" s="29"/>
      <c r="L70" s="29"/>
      <c r="M70" s="89"/>
    </row>
    <row r="71" spans="2:13" ht="13.5">
      <c r="D71" s="250"/>
      <c r="E71" s="94"/>
      <c r="G71" s="80" t="s">
        <v>294</v>
      </c>
      <c r="H71" s="28">
        <f>+NPV(H65/100,E67:E73)</f>
        <v>1833267.548628995</v>
      </c>
      <c r="I71" s="47" t="s">
        <v>327</v>
      </c>
      <c r="J71" s="29"/>
      <c r="K71" s="29"/>
      <c r="L71" s="29"/>
      <c r="M71" s="89"/>
    </row>
    <row r="72" spans="2:13">
      <c r="D72" s="85"/>
      <c r="E72" s="30"/>
      <c r="G72" s="88"/>
      <c r="H72" s="29"/>
      <c r="I72" s="47"/>
      <c r="J72" s="29"/>
      <c r="K72" s="29"/>
      <c r="L72" s="29"/>
      <c r="M72" s="89"/>
    </row>
    <row r="73" spans="2:13">
      <c r="D73" s="85"/>
      <c r="E73" s="30"/>
      <c r="G73" s="88"/>
      <c r="H73" s="29"/>
      <c r="I73" s="29"/>
      <c r="J73" s="29"/>
      <c r="K73" s="29"/>
      <c r="L73" s="29"/>
      <c r="M73" s="89"/>
    </row>
    <row r="74" spans="2:13">
      <c r="G74" s="88"/>
      <c r="H74" s="30" t="s">
        <v>10</v>
      </c>
      <c r="I74" s="47" t="s">
        <v>302</v>
      </c>
      <c r="J74" s="29"/>
      <c r="K74" s="29"/>
      <c r="L74" s="29"/>
      <c r="M74" s="89"/>
    </row>
    <row r="75" spans="2:13">
      <c r="G75" s="80" t="s">
        <v>301</v>
      </c>
      <c r="H75" s="28">
        <f>+H71+E66</f>
        <v>193570.74862899492</v>
      </c>
      <c r="I75" s="32" t="s">
        <v>303</v>
      </c>
      <c r="J75" s="29"/>
      <c r="K75" s="29"/>
      <c r="L75" s="29"/>
      <c r="M75" s="89"/>
    </row>
    <row r="76" spans="2:13" ht="12.75" thickBot="1">
      <c r="G76" s="88"/>
      <c r="H76" s="29"/>
      <c r="I76" s="47" t="s">
        <v>317</v>
      </c>
      <c r="J76" s="29"/>
      <c r="K76" s="29"/>
      <c r="L76" s="29"/>
      <c r="M76" s="89"/>
    </row>
    <row r="77" spans="2:13">
      <c r="B77" s="49"/>
      <c r="C77" s="18" t="s">
        <v>10</v>
      </c>
      <c r="D77" s="78"/>
      <c r="G77" s="88"/>
      <c r="H77" s="29"/>
      <c r="I77" s="47" t="s">
        <v>318</v>
      </c>
      <c r="J77" s="29"/>
      <c r="K77" s="29"/>
      <c r="L77" s="29"/>
      <c r="M77" s="89"/>
    </row>
    <row r="78" spans="2:13">
      <c r="B78" s="80" t="s">
        <v>292</v>
      </c>
      <c r="C78" s="28" t="s">
        <v>301</v>
      </c>
      <c r="D78" s="50" t="s">
        <v>296</v>
      </c>
      <c r="G78" s="88"/>
      <c r="H78" s="29"/>
      <c r="I78" s="47" t="s">
        <v>319</v>
      </c>
      <c r="J78" s="29"/>
      <c r="K78" s="29"/>
      <c r="L78" s="29"/>
      <c r="M78" s="89"/>
    </row>
    <row r="79" spans="2:13" ht="12.75" thickBot="1">
      <c r="B79" s="81" t="s">
        <v>293</v>
      </c>
      <c r="C79" s="30">
        <f>+H41</f>
        <v>97377.234578691889</v>
      </c>
      <c r="D79" s="64">
        <v>0.7</v>
      </c>
      <c r="G79" s="51"/>
      <c r="H79" s="20"/>
      <c r="I79" s="141" t="s">
        <v>320</v>
      </c>
      <c r="J79" s="20"/>
      <c r="K79" s="20"/>
      <c r="L79" s="20"/>
      <c r="M79" s="90"/>
    </row>
    <row r="80" spans="2:13">
      <c r="B80" s="81" t="s">
        <v>298</v>
      </c>
      <c r="C80" s="30">
        <f>+H58</f>
        <v>-744480.70813109772</v>
      </c>
      <c r="D80" s="64">
        <v>0.1</v>
      </c>
    </row>
    <row r="81" spans="2:7" ht="12.75" thickBot="1">
      <c r="B81" s="142" t="s">
        <v>297</v>
      </c>
      <c r="C81" s="21">
        <f>+H75</f>
        <v>193570.74862899492</v>
      </c>
      <c r="D81" s="38">
        <f>1-D80-D79</f>
        <v>0.20000000000000007</v>
      </c>
    </row>
    <row r="82" spans="2:7">
      <c r="F82" s="136"/>
      <c r="G82" s="186" t="s">
        <v>10</v>
      </c>
    </row>
    <row r="83" spans="2:7">
      <c r="F83" s="199" t="s">
        <v>301</v>
      </c>
      <c r="G83" s="111">
        <f>+C79*D79+C80*D80+C81*D81</f>
        <v>32430.143117773536</v>
      </c>
    </row>
    <row r="87" spans="2:7">
      <c r="B87" s="136"/>
      <c r="C87" s="94" t="s">
        <v>10</v>
      </c>
      <c r="D87" s="94" t="s">
        <v>10</v>
      </c>
      <c r="E87" s="94" t="s">
        <v>10</v>
      </c>
      <c r="F87" s="201"/>
    </row>
    <row r="88" spans="2:7">
      <c r="B88" s="197" t="s">
        <v>292</v>
      </c>
      <c r="C88" s="28" t="s">
        <v>441</v>
      </c>
      <c r="D88" s="28" t="s">
        <v>442</v>
      </c>
      <c r="E88" s="28" t="s">
        <v>301</v>
      </c>
      <c r="F88" s="98" t="s">
        <v>443</v>
      </c>
    </row>
    <row r="89" spans="2:7">
      <c r="B89" s="133" t="s">
        <v>293</v>
      </c>
      <c r="C89" s="30">
        <f>E66</f>
        <v>-1639696.8</v>
      </c>
      <c r="D89" s="30">
        <f>H37</f>
        <v>1737074.0345786919</v>
      </c>
      <c r="E89" s="30">
        <f>H41</f>
        <v>97377.234578691889</v>
      </c>
      <c r="F89" s="96">
        <f>D79</f>
        <v>0.7</v>
      </c>
    </row>
    <row r="90" spans="2:7">
      <c r="B90" s="133" t="s">
        <v>298</v>
      </c>
      <c r="C90" s="30">
        <f>E51</f>
        <v>-1639696.8</v>
      </c>
      <c r="D90" s="30">
        <f>H54</f>
        <v>895216.09186890232</v>
      </c>
      <c r="E90" s="30">
        <f>H58</f>
        <v>-744480.70813109772</v>
      </c>
      <c r="F90" s="96">
        <f>D80</f>
        <v>0.1</v>
      </c>
    </row>
    <row r="91" spans="2:7">
      <c r="B91" s="235" t="s">
        <v>297</v>
      </c>
      <c r="C91" s="210">
        <f>E34</f>
        <v>-1639696.8</v>
      </c>
      <c r="D91" s="210">
        <f>H71</f>
        <v>1833267.548628995</v>
      </c>
      <c r="E91" s="210">
        <f>C91+D91</f>
        <v>193570.74862899492</v>
      </c>
      <c r="F91" s="211">
        <f>D81</f>
        <v>0.20000000000000007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T124"/>
  <sheetViews>
    <sheetView topLeftCell="A16" workbookViewId="0">
      <selection activeCell="C88" sqref="C88"/>
    </sheetView>
  </sheetViews>
  <sheetFormatPr baseColWidth="10" defaultRowHeight="12"/>
  <cols>
    <col min="1" max="1" width="2.140625" style="1" customWidth="1"/>
    <col min="2" max="2" width="20.28515625" style="1" customWidth="1"/>
    <col min="3" max="3" width="19.7109375" style="1" bestFit="1" customWidth="1"/>
    <col min="4" max="4" width="11.42578125" style="1"/>
    <col min="5" max="5" width="2.28515625" style="29" customWidth="1"/>
    <col min="6" max="6" width="22.42578125" style="1" bestFit="1" customWidth="1"/>
    <col min="7" max="7" width="17.42578125" style="29" bestFit="1" customWidth="1"/>
    <col min="8" max="8" width="11.42578125" style="1"/>
    <col min="9" max="9" width="3.42578125" style="1" customWidth="1"/>
    <col min="10" max="10" width="27.28515625" style="1" bestFit="1" customWidth="1"/>
    <col min="11" max="11" width="17.42578125" style="1" bestFit="1" customWidth="1"/>
    <col min="12" max="12" width="2.28515625" style="29" customWidth="1"/>
    <col min="13" max="13" width="11.42578125" style="1"/>
    <col min="14" max="14" width="2.28515625" style="29" customWidth="1"/>
    <col min="15" max="15" width="11.42578125" style="1"/>
    <col min="16" max="16" width="2.140625" style="1" customWidth="1"/>
    <col min="17" max="17" width="29.140625" style="1" customWidth="1"/>
    <col min="18" max="16384" width="11.42578125" style="1"/>
  </cols>
  <sheetData>
    <row r="3" spans="3:20">
      <c r="D3" s="269" t="s">
        <v>582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453</v>
      </c>
      <c r="G4" s="30"/>
      <c r="H4" s="7" t="s">
        <v>583</v>
      </c>
      <c r="J4" s="8" t="s">
        <v>454</v>
      </c>
      <c r="K4" s="7" t="s">
        <v>452</v>
      </c>
      <c r="L4" s="30"/>
      <c r="M4" s="7" t="s">
        <v>453</v>
      </c>
      <c r="N4" s="30"/>
      <c r="O4" s="7" t="s">
        <v>583</v>
      </c>
      <c r="Q4" s="7"/>
      <c r="R4" s="7" t="str">
        <f>+O4</f>
        <v>año 2013</v>
      </c>
      <c r="S4" s="7" t="str">
        <f>+M4</f>
        <v>año 2014</v>
      </c>
      <c r="T4" s="7" t="str">
        <f>+K4</f>
        <v>año 2015</v>
      </c>
    </row>
    <row r="5" spans="3:20">
      <c r="C5" s="8" t="s">
        <v>455</v>
      </c>
      <c r="D5" s="10">
        <f>+SUM(D6:D8)</f>
        <v>1545068</v>
      </c>
      <c r="F5" s="10">
        <f>+SUM(F6:F8)</f>
        <v>1521769</v>
      </c>
      <c r="H5" s="9">
        <f>+SUM(H6:H8)</f>
        <v>1539690</v>
      </c>
      <c r="J5" s="8" t="s">
        <v>456</v>
      </c>
      <c r="K5" s="25">
        <f>+K6</f>
        <v>834204</v>
      </c>
      <c r="M5" s="25">
        <f>+M6</f>
        <v>902608</v>
      </c>
      <c r="O5" s="25">
        <f>+O6</f>
        <v>954919</v>
      </c>
      <c r="Q5" s="9" t="s">
        <v>457</v>
      </c>
      <c r="R5" s="6">
        <f>+O5+O10-H5</f>
        <v>-132106</v>
      </c>
      <c r="S5" s="6">
        <f>+M6+M10-F5</f>
        <v>-171129</v>
      </c>
      <c r="T5" s="7">
        <f>+K5+K10-D5</f>
        <v>-265731</v>
      </c>
    </row>
    <row r="6" spans="3:20">
      <c r="C6" s="6" t="s">
        <v>458</v>
      </c>
      <c r="D6" s="7">
        <v>42777</v>
      </c>
      <c r="F6" s="7">
        <v>42777</v>
      </c>
      <c r="H6" s="7">
        <v>42777</v>
      </c>
      <c r="J6" s="9" t="s">
        <v>459</v>
      </c>
      <c r="K6" s="10">
        <f>+K7+K8</f>
        <v>834204</v>
      </c>
      <c r="M6" s="10">
        <f>+M7+M8</f>
        <v>902608</v>
      </c>
      <c r="O6" s="10">
        <f>+O7+O8</f>
        <v>954919</v>
      </c>
      <c r="Q6" s="3" t="s">
        <v>584</v>
      </c>
    </row>
    <row r="7" spans="3:20">
      <c r="C7" s="6" t="s">
        <v>461</v>
      </c>
      <c r="D7" s="7">
        <v>1399988</v>
      </c>
      <c r="F7" s="7">
        <v>1382070</v>
      </c>
      <c r="H7" s="6">
        <v>1417428</v>
      </c>
      <c r="J7" s="6" t="s">
        <v>462</v>
      </c>
      <c r="K7" s="7">
        <v>109382</v>
      </c>
      <c r="M7" s="6">
        <v>109382</v>
      </c>
      <c r="O7" s="7">
        <v>109382</v>
      </c>
      <c r="Q7" s="6" t="s">
        <v>585</v>
      </c>
    </row>
    <row r="8" spans="3:20">
      <c r="C8" s="6" t="s">
        <v>464</v>
      </c>
      <c r="D8" s="7">
        <v>102303</v>
      </c>
      <c r="F8" s="7">
        <v>96922</v>
      </c>
      <c r="H8" s="7">
        <v>79485</v>
      </c>
      <c r="J8" s="6" t="s">
        <v>465</v>
      </c>
      <c r="K8" s="7">
        <v>724822</v>
      </c>
      <c r="M8" s="6">
        <v>793226</v>
      </c>
      <c r="O8" s="7">
        <v>845537</v>
      </c>
      <c r="Q8" s="6" t="s">
        <v>586</v>
      </c>
    </row>
    <row r="9" spans="3:20">
      <c r="Q9" s="6" t="s">
        <v>587</v>
      </c>
    </row>
    <row r="10" spans="3:20">
      <c r="J10" s="8" t="s">
        <v>468</v>
      </c>
      <c r="K10" s="25">
        <f>+K11+K12</f>
        <v>445133</v>
      </c>
      <c r="M10" s="25">
        <f>+M11+M12</f>
        <v>448032</v>
      </c>
      <c r="O10" s="25">
        <f>+O11+O12</f>
        <v>452665</v>
      </c>
      <c r="Q10" s="6" t="s">
        <v>588</v>
      </c>
    </row>
    <row r="11" spans="3:20">
      <c r="C11" s="8" t="s">
        <v>469</v>
      </c>
      <c r="D11" s="10">
        <f>+SUM(D12:D15)</f>
        <v>581650</v>
      </c>
      <c r="F11" s="10">
        <f>+SUM(F12:F15)</f>
        <v>705740</v>
      </c>
      <c r="H11" s="10">
        <f>+SUM(H12:H15)</f>
        <v>717051</v>
      </c>
      <c r="J11" s="6" t="s">
        <v>470</v>
      </c>
      <c r="K11" s="7">
        <v>442781</v>
      </c>
      <c r="M11" s="7">
        <v>445680</v>
      </c>
      <c r="O11" s="7">
        <v>450313</v>
      </c>
      <c r="Q11" s="6" t="s">
        <v>589</v>
      </c>
    </row>
    <row r="12" spans="3:20">
      <c r="C12" s="6" t="s">
        <v>472</v>
      </c>
      <c r="D12" s="7">
        <v>468748</v>
      </c>
      <c r="F12" s="7">
        <v>492492</v>
      </c>
      <c r="H12" s="7">
        <v>456742</v>
      </c>
      <c r="J12" s="6" t="s">
        <v>473</v>
      </c>
      <c r="K12" s="7">
        <v>2352</v>
      </c>
      <c r="M12" s="7">
        <v>2352</v>
      </c>
      <c r="O12" s="7">
        <v>2352</v>
      </c>
      <c r="Q12" s="6" t="s">
        <v>590</v>
      </c>
    </row>
    <row r="13" spans="3:20">
      <c r="C13" s="6" t="s">
        <v>475</v>
      </c>
      <c r="D13" s="7"/>
      <c r="Q13" s="6"/>
    </row>
    <row r="14" spans="3:20">
      <c r="C14" s="6" t="s">
        <v>477</v>
      </c>
      <c r="D14" s="7">
        <v>103622</v>
      </c>
      <c r="F14" s="7">
        <v>124796</v>
      </c>
      <c r="H14" s="7">
        <v>253989</v>
      </c>
      <c r="J14" s="8" t="s">
        <v>478</v>
      </c>
      <c r="K14" s="25">
        <f>+K15+K17</f>
        <v>847381</v>
      </c>
      <c r="M14" s="25">
        <f>+M15+M17</f>
        <v>876868</v>
      </c>
      <c r="O14" s="25">
        <f>+O15+O17</f>
        <v>849157</v>
      </c>
      <c r="Q14" s="6"/>
    </row>
    <row r="15" spans="3:20">
      <c r="C15" s="6" t="s">
        <v>479</v>
      </c>
      <c r="D15" s="7">
        <v>9280</v>
      </c>
      <c r="F15" s="7">
        <v>88452</v>
      </c>
      <c r="H15" s="7">
        <v>6320</v>
      </c>
      <c r="J15" s="9" t="s">
        <v>480</v>
      </c>
      <c r="K15" s="10">
        <v>287979</v>
      </c>
      <c r="M15" s="10">
        <v>504480</v>
      </c>
      <c r="O15" s="10">
        <v>322172</v>
      </c>
    </row>
    <row r="16" spans="3:20">
      <c r="J16" s="6" t="s">
        <v>482</v>
      </c>
      <c r="K16" s="7">
        <v>287979</v>
      </c>
      <c r="M16" s="7">
        <v>504480</v>
      </c>
      <c r="O16" s="7">
        <v>322172</v>
      </c>
      <c r="Q16" s="6"/>
    </row>
    <row r="17" spans="2:20">
      <c r="J17" s="9" t="s">
        <v>484</v>
      </c>
      <c r="K17" s="10">
        <f>+K18+K19</f>
        <v>559402</v>
      </c>
      <c r="M17" s="10">
        <f>M18+M19</f>
        <v>372388</v>
      </c>
      <c r="O17" s="10">
        <f>+O18+O19</f>
        <v>526985</v>
      </c>
      <c r="Q17" s="6"/>
    </row>
    <row r="18" spans="2:20">
      <c r="F18" s="29"/>
      <c r="H18" s="29"/>
      <c r="J18" s="6" t="s">
        <v>485</v>
      </c>
      <c r="K18" s="7">
        <v>164912</v>
      </c>
      <c r="M18" s="7">
        <v>160308</v>
      </c>
      <c r="O18" s="7">
        <v>169051</v>
      </c>
      <c r="Q18" s="6"/>
    </row>
    <row r="19" spans="2:20">
      <c r="J19" s="6" t="s">
        <v>486</v>
      </c>
      <c r="K19" s="7">
        <v>394490</v>
      </c>
      <c r="M19" s="1">
        <v>212080</v>
      </c>
      <c r="O19" s="1">
        <v>357934</v>
      </c>
      <c r="Q19" s="6"/>
    </row>
    <row r="20" spans="2:20" ht="12.75" thickBot="1">
      <c r="Q20" s="6"/>
    </row>
    <row r="21" spans="2:20" ht="13.5" thickTop="1" thickBot="1">
      <c r="C21" s="25" t="s">
        <v>487</v>
      </c>
      <c r="D21" s="255">
        <f>+D11+D5</f>
        <v>2126718</v>
      </c>
      <c r="F21" s="255">
        <f>+F11+F5</f>
        <v>2227509</v>
      </c>
      <c r="H21" s="255">
        <f>+H11+H5</f>
        <v>2256741</v>
      </c>
      <c r="J21" s="8" t="s">
        <v>488</v>
      </c>
      <c r="K21" s="255">
        <f>+K14+K10+K5</f>
        <v>2126718</v>
      </c>
      <c r="M21" s="255">
        <f>+M14+M10+M5</f>
        <v>2227508</v>
      </c>
      <c r="O21" s="255">
        <f>+O14+O10+O5</f>
        <v>2256741</v>
      </c>
      <c r="Q21" s="6"/>
    </row>
    <row r="22" spans="2:20" ht="12.75" thickTop="1">
      <c r="Q22" s="6"/>
    </row>
    <row r="23" spans="2:20">
      <c r="Q23" s="6"/>
    </row>
    <row r="24" spans="2:20">
      <c r="Q24" s="6"/>
    </row>
    <row r="25" spans="2:20">
      <c r="B25" s="6" t="s">
        <v>489</v>
      </c>
      <c r="Q25" s="6"/>
    </row>
    <row r="26" spans="2:20">
      <c r="B26" s="6" t="s">
        <v>490</v>
      </c>
    </row>
    <row r="27" spans="2:20">
      <c r="B27" s="6" t="s">
        <v>491</v>
      </c>
      <c r="Q27" s="8" t="s">
        <v>492</v>
      </c>
    </row>
    <row r="29" spans="2:20">
      <c r="F29" s="7" t="s">
        <v>452</v>
      </c>
      <c r="H29" s="7" t="s">
        <v>453</v>
      </c>
      <c r="J29" s="7" t="s">
        <v>583</v>
      </c>
      <c r="R29" s="7" t="s">
        <v>583</v>
      </c>
      <c r="S29" s="7" t="s">
        <v>453</v>
      </c>
      <c r="T29" s="7" t="str">
        <f>+T4</f>
        <v>año 2015</v>
      </c>
    </row>
    <row r="30" spans="2:20">
      <c r="B30" s="6" t="s">
        <v>493</v>
      </c>
      <c r="F30" s="7">
        <v>603728</v>
      </c>
      <c r="H30" s="7">
        <v>559722</v>
      </c>
      <c r="J30" s="7">
        <v>413233</v>
      </c>
      <c r="Q30" s="7" t="s">
        <v>494</v>
      </c>
      <c r="R30" s="7">
        <f>+H11/O14</f>
        <v>0.8444268845454963</v>
      </c>
      <c r="S30" s="7">
        <f>+F11/M14</f>
        <v>0.80484177778183263</v>
      </c>
      <c r="T30" s="7">
        <f>+(D11/K14)</f>
        <v>0.68640906510766708</v>
      </c>
    </row>
    <row r="31" spans="2:20">
      <c r="B31" s="6"/>
      <c r="F31" s="7"/>
      <c r="H31" s="7"/>
      <c r="J31" s="7"/>
      <c r="Q31" s="7" t="s">
        <v>495</v>
      </c>
      <c r="R31" s="7">
        <f>+(H11-H12)/O14</f>
        <v>0.30654990773202129</v>
      </c>
      <c r="S31" s="7">
        <f>+(F11-F12)/M14</f>
        <v>0.24319281807524051</v>
      </c>
      <c r="T31" s="7">
        <f>+(D11-D12)/K14</f>
        <v>0.13323640723594227</v>
      </c>
    </row>
    <row r="32" spans="2:20">
      <c r="B32" s="6"/>
      <c r="F32" s="7"/>
      <c r="H32" s="7"/>
      <c r="J32" s="7"/>
      <c r="Q32" s="7" t="s">
        <v>496</v>
      </c>
      <c r="R32" s="7">
        <f>+H15/O14</f>
        <v>7.4426755005258154E-3</v>
      </c>
      <c r="S32" s="7">
        <f>+F15/M14</f>
        <v>0.10087265129985357</v>
      </c>
      <c r="T32" s="7">
        <f>+D15/K14</f>
        <v>1.0951390224704118E-2</v>
      </c>
    </row>
    <row r="33" spans="2:20">
      <c r="B33" s="6"/>
      <c r="F33" s="7"/>
      <c r="H33" s="7"/>
      <c r="J33" s="7"/>
      <c r="Q33" s="7"/>
      <c r="R33" s="7"/>
      <c r="S33" s="7"/>
      <c r="T33" s="7"/>
    </row>
    <row r="34" spans="2:20">
      <c r="Q34" s="6" t="s">
        <v>591</v>
      </c>
    </row>
    <row r="35" spans="2:20">
      <c r="B35" s="9" t="s">
        <v>498</v>
      </c>
      <c r="F35" s="10">
        <v>-82604</v>
      </c>
      <c r="H35" s="9">
        <v>-57896</v>
      </c>
      <c r="J35" s="10">
        <v>-72666</v>
      </c>
    </row>
    <row r="36" spans="2:20">
      <c r="B36" s="9"/>
      <c r="C36" s="3" t="s">
        <v>592</v>
      </c>
      <c r="F36" s="10"/>
      <c r="H36" s="9"/>
      <c r="J36" s="10"/>
    </row>
    <row r="37" spans="2:20">
      <c r="B37" s="9"/>
      <c r="C37" s="6" t="s">
        <v>593</v>
      </c>
      <c r="F37" s="10"/>
      <c r="H37" s="9"/>
      <c r="J37" s="10"/>
    </row>
    <row r="38" spans="2:20">
      <c r="B38" s="9"/>
      <c r="F38" s="10"/>
      <c r="H38" s="9"/>
      <c r="J38" s="10"/>
    </row>
    <row r="39" spans="2:20">
      <c r="B39" s="9" t="s">
        <v>503</v>
      </c>
      <c r="F39" s="7" t="s">
        <v>594</v>
      </c>
      <c r="H39" s="7" t="s">
        <v>594</v>
      </c>
      <c r="J39" s="7" t="s">
        <v>594</v>
      </c>
      <c r="Q39" s="6"/>
    </row>
    <row r="40" spans="2:20">
      <c r="B40" s="9" t="s">
        <v>505</v>
      </c>
      <c r="F40" s="10">
        <v>-82604</v>
      </c>
      <c r="H40" s="9">
        <v>-57896</v>
      </c>
      <c r="J40" s="10">
        <v>-72666</v>
      </c>
      <c r="Q40" s="6"/>
    </row>
    <row r="42" spans="2:20">
      <c r="Q42" s="8" t="s">
        <v>512</v>
      </c>
      <c r="R42" s="7" t="s">
        <v>583</v>
      </c>
      <c r="S42" s="7" t="s">
        <v>453</v>
      </c>
      <c r="T42" s="7" t="str">
        <f>+T29</f>
        <v>año 2015</v>
      </c>
    </row>
    <row r="43" spans="2:20">
      <c r="B43" s="6" t="s">
        <v>508</v>
      </c>
      <c r="F43" s="7">
        <v>48</v>
      </c>
      <c r="H43" s="7">
        <v>106</v>
      </c>
      <c r="J43" s="7">
        <v>126</v>
      </c>
      <c r="Q43" s="6" t="s">
        <v>514</v>
      </c>
      <c r="R43" s="7">
        <f>+(O10+O14)/O5</f>
        <v>1.3632800268923333</v>
      </c>
      <c r="S43" s="7">
        <f>+(M10+M14)/M5</f>
        <v>1.4678575860174072</v>
      </c>
      <c r="T43" s="7">
        <f>+(K10+K14)/K5</f>
        <v>1.5493979889811125</v>
      </c>
    </row>
    <row r="44" spans="2:20">
      <c r="B44" s="6" t="s">
        <v>510</v>
      </c>
      <c r="F44" s="7">
        <v>-8666</v>
      </c>
      <c r="H44" s="7">
        <v>-11957</v>
      </c>
      <c r="J44" s="7">
        <v>-22820</v>
      </c>
      <c r="Q44" s="6" t="s">
        <v>515</v>
      </c>
      <c r="R44" s="7">
        <f>+(O11+O16)/O5</f>
        <v>0.80895342955789973</v>
      </c>
      <c r="S44" s="7">
        <f>+(M10+M16)/M6</f>
        <v>1.0552886745962811</v>
      </c>
      <c r="T44" s="7">
        <f>+(K10+K15)/K5</f>
        <v>0.87881621282084477</v>
      </c>
    </row>
    <row r="45" spans="2:20">
      <c r="Q45" s="6" t="s">
        <v>517</v>
      </c>
      <c r="R45" s="7">
        <f>+O5/(O10+O5)</f>
        <v>0.67840995635073997</v>
      </c>
      <c r="S45" s="7">
        <f>+M5/(M10+M5)</f>
        <v>0.66828170348871641</v>
      </c>
      <c r="T45" s="7">
        <f>+(K6/(K6+K10))</f>
        <v>0.65205962150707752</v>
      </c>
    </row>
    <row r="46" spans="2:20">
      <c r="Q46" s="9" t="s">
        <v>518</v>
      </c>
      <c r="R46" s="7">
        <f>+(1-J60)*-J44/(O11+O16)</f>
        <v>2.9541026686602329E-2</v>
      </c>
      <c r="S46" s="257">
        <f>+(1-H60)*H44*-1/(M10+M16)</f>
        <v>1.2553122690317811E-2</v>
      </c>
      <c r="T46" s="42">
        <f>+(1-F60)*F44*-1/(K10+K15)</f>
        <v>1.1820840471851505E-2</v>
      </c>
    </row>
    <row r="47" spans="2:20">
      <c r="B47" s="9" t="s">
        <v>513</v>
      </c>
      <c r="F47" s="10">
        <f>+F43+F44</f>
        <v>-8618</v>
      </c>
      <c r="H47" s="10">
        <f>+H43+H44</f>
        <v>-11851</v>
      </c>
      <c r="J47" s="10">
        <f>+J43+J44</f>
        <v>-22694</v>
      </c>
    </row>
    <row r="48" spans="2:20">
      <c r="Q48" s="6"/>
    </row>
    <row r="49" spans="2:17">
      <c r="B49" s="9" t="s">
        <v>516</v>
      </c>
      <c r="F49" s="10">
        <f>+F47+F40</f>
        <v>-91222</v>
      </c>
      <c r="H49" s="9">
        <f>+H47+H40</f>
        <v>-69747</v>
      </c>
      <c r="J49" s="10">
        <f>+J47+J40</f>
        <v>-95360</v>
      </c>
      <c r="Q49" s="6" t="s">
        <v>595</v>
      </c>
    </row>
    <row r="50" spans="2:17">
      <c r="Q50" s="6" t="s">
        <v>596</v>
      </c>
    </row>
    <row r="51" spans="2:17">
      <c r="B51" s="6" t="s">
        <v>519</v>
      </c>
      <c r="F51" s="7">
        <v>-22818</v>
      </c>
      <c r="H51" s="7">
        <v>-17437</v>
      </c>
      <c r="J51" s="258">
        <v>0</v>
      </c>
      <c r="Q51" s="6" t="s">
        <v>597</v>
      </c>
    </row>
    <row r="52" spans="2:17">
      <c r="B52" s="6"/>
      <c r="C52" s="6" t="s">
        <v>598</v>
      </c>
      <c r="F52" s="7"/>
      <c r="H52" s="7"/>
      <c r="J52" s="258"/>
      <c r="Q52" s="6"/>
    </row>
    <row r="53" spans="2:17">
      <c r="B53" s="6"/>
      <c r="C53" s="6" t="s">
        <v>599</v>
      </c>
      <c r="F53" s="7"/>
      <c r="H53" s="7"/>
      <c r="J53" s="258"/>
      <c r="Q53" s="6"/>
    </row>
    <row r="54" spans="2:17">
      <c r="B54" s="6"/>
      <c r="C54" s="6" t="s">
        <v>600</v>
      </c>
      <c r="F54" s="7"/>
      <c r="H54" s="7"/>
      <c r="J54" s="258"/>
      <c r="Q54" s="6"/>
    </row>
    <row r="55" spans="2:17">
      <c r="B55" s="6"/>
      <c r="C55" s="6" t="s">
        <v>601</v>
      </c>
      <c r="F55" s="7"/>
      <c r="H55" s="7"/>
      <c r="J55" s="258"/>
      <c r="Q55" s="6"/>
    </row>
    <row r="56" spans="2:17">
      <c r="Q56" s="6"/>
    </row>
    <row r="57" spans="2:17">
      <c r="B57" s="9" t="s">
        <v>524</v>
      </c>
      <c r="F57" s="10">
        <f>+F49+F51</f>
        <v>-114040</v>
      </c>
      <c r="H57" s="9">
        <f>+H49+H51</f>
        <v>-87184</v>
      </c>
      <c r="J57" s="10">
        <f>+J49+J51</f>
        <v>-95360</v>
      </c>
      <c r="Q57" s="3" t="s">
        <v>602</v>
      </c>
    </row>
    <row r="58" spans="2:17">
      <c r="Q58" s="6" t="s">
        <v>603</v>
      </c>
    </row>
    <row r="59" spans="2:17">
      <c r="Q59" s="6"/>
    </row>
    <row r="60" spans="2:17">
      <c r="B60" s="6" t="s">
        <v>528</v>
      </c>
      <c r="F60" s="7"/>
      <c r="H60" s="7"/>
      <c r="J60" s="258">
        <f>-J51/J49</f>
        <v>0</v>
      </c>
      <c r="Q60" s="3"/>
    </row>
    <row r="61" spans="2:17">
      <c r="B61" s="6"/>
      <c r="F61" s="7"/>
      <c r="H61" s="7"/>
      <c r="J61" s="7"/>
      <c r="Q61" s="6"/>
    </row>
    <row r="62" spans="2:17">
      <c r="B62" s="6"/>
      <c r="F62" s="7"/>
      <c r="H62" s="7"/>
      <c r="J62" s="7"/>
    </row>
    <row r="63" spans="2:17">
      <c r="Q63" s="3"/>
    </row>
    <row r="64" spans="2:17">
      <c r="B64" s="6" t="s">
        <v>604</v>
      </c>
      <c r="Q64" s="6"/>
    </row>
    <row r="65" spans="2:20">
      <c r="F65" s="7" t="s">
        <v>452</v>
      </c>
      <c r="H65" s="7" t="s">
        <v>453</v>
      </c>
      <c r="J65" s="7" t="s">
        <v>583</v>
      </c>
      <c r="Q65" s="6"/>
    </row>
    <row r="66" spans="2:20">
      <c r="B66" s="9" t="s">
        <v>532</v>
      </c>
    </row>
    <row r="67" spans="2:20">
      <c r="B67" s="6" t="s">
        <v>533</v>
      </c>
      <c r="F67" s="7">
        <f>+F40/F30</f>
        <v>-0.13682320515198898</v>
      </c>
      <c r="H67" s="7">
        <f>+H40/H30</f>
        <v>-0.10343706339933038</v>
      </c>
      <c r="J67" s="7">
        <f>+J40/J30</f>
        <v>-0.17584752427807074</v>
      </c>
      <c r="Q67" s="8" t="s">
        <v>605</v>
      </c>
    </row>
    <row r="68" spans="2:20">
      <c r="B68" s="6" t="s">
        <v>534</v>
      </c>
      <c r="F68" s="7">
        <f>+F30/D21</f>
        <v>0.28387778727598112</v>
      </c>
      <c r="H68" s="7">
        <f>+H30/F21</f>
        <v>0.25127709921710756</v>
      </c>
      <c r="J68" s="7">
        <f>+J30/H21</f>
        <v>0.18311051201710785</v>
      </c>
      <c r="R68" s="7" t="s">
        <v>583</v>
      </c>
      <c r="S68" s="7" t="s">
        <v>453</v>
      </c>
      <c r="T68" s="7" t="str">
        <f>+T4</f>
        <v>año 2015</v>
      </c>
    </row>
    <row r="69" spans="2:20">
      <c r="Q69" s="6" t="s">
        <v>535</v>
      </c>
      <c r="R69" s="7">
        <f>+D14</f>
        <v>103622</v>
      </c>
      <c r="S69" s="7">
        <f>+F14</f>
        <v>124796</v>
      </c>
      <c r="T69" s="7">
        <f>+D14</f>
        <v>103622</v>
      </c>
    </row>
    <row r="70" spans="2:20">
      <c r="B70" s="9" t="s">
        <v>536</v>
      </c>
      <c r="F70" s="7">
        <f>+F40/D21</f>
        <v>-3.8841068726554247E-2</v>
      </c>
      <c r="H70" s="7">
        <f>+H40/F21</f>
        <v>-2.5991365242519784E-2</v>
      </c>
      <c r="J70" s="7">
        <f>+J40/H21</f>
        <v>-3.2199530207498335E-2</v>
      </c>
      <c r="Q70" s="6" t="s">
        <v>537</v>
      </c>
      <c r="R70" s="7">
        <f>+D12</f>
        <v>468748</v>
      </c>
      <c r="S70" s="7">
        <f>+F12</f>
        <v>492492</v>
      </c>
      <c r="T70" s="7">
        <f>+D12</f>
        <v>468748</v>
      </c>
    </row>
    <row r="71" spans="2:20">
      <c r="B71" s="6" t="s">
        <v>538</v>
      </c>
      <c r="Q71" s="9" t="s">
        <v>539</v>
      </c>
      <c r="R71" s="10">
        <f>+R69+R70</f>
        <v>572370</v>
      </c>
      <c r="S71" s="10">
        <f>+S69+S70</f>
        <v>617288</v>
      </c>
      <c r="T71" s="10">
        <f>+T69+T70</f>
        <v>572370</v>
      </c>
    </row>
    <row r="72" spans="2:20">
      <c r="B72" s="6" t="s">
        <v>540</v>
      </c>
      <c r="Q72" s="6" t="s">
        <v>485</v>
      </c>
      <c r="R72" s="7">
        <f>+O17</f>
        <v>526985</v>
      </c>
      <c r="S72" s="7">
        <f>+M17</f>
        <v>372388</v>
      </c>
      <c r="T72" s="7">
        <f>+K17</f>
        <v>559402</v>
      </c>
    </row>
    <row r="73" spans="2:20">
      <c r="Q73" s="9" t="s">
        <v>541</v>
      </c>
      <c r="R73" s="10">
        <f>+R72</f>
        <v>526985</v>
      </c>
      <c r="S73" s="10">
        <f>+S72</f>
        <v>372388</v>
      </c>
      <c r="T73" s="10">
        <f>+T72</f>
        <v>559402</v>
      </c>
    </row>
    <row r="74" spans="2:20">
      <c r="B74" s="3" t="s">
        <v>606</v>
      </c>
    </row>
    <row r="75" spans="2:20">
      <c r="B75" s="6" t="s">
        <v>607</v>
      </c>
      <c r="Q75" s="9" t="s">
        <v>544</v>
      </c>
      <c r="R75" s="7">
        <f>+R71-R73</f>
        <v>45385</v>
      </c>
      <c r="S75" s="7">
        <f>+S71-S73</f>
        <v>244900</v>
      </c>
      <c r="T75" s="7">
        <f>+T71-T73</f>
        <v>12968</v>
      </c>
    </row>
    <row r="76" spans="2:20">
      <c r="B76" s="6"/>
      <c r="Q76" s="9"/>
      <c r="R76" s="7"/>
      <c r="S76" s="7"/>
      <c r="T76" s="7"/>
    </row>
    <row r="77" spans="2:20">
      <c r="B77" s="6" t="s">
        <v>608</v>
      </c>
    </row>
    <row r="78" spans="2:20">
      <c r="B78" s="6" t="s">
        <v>609</v>
      </c>
      <c r="Q78" s="3"/>
    </row>
    <row r="79" spans="2:20">
      <c r="F79" s="7" t="s">
        <v>452</v>
      </c>
      <c r="H79" s="7" t="s">
        <v>453</v>
      </c>
      <c r="J79" s="7" t="s">
        <v>583</v>
      </c>
      <c r="Q79" s="6"/>
    </row>
    <row r="80" spans="2:20">
      <c r="B80" s="8" t="s">
        <v>610</v>
      </c>
      <c r="F80" s="7">
        <f>+F57/K5</f>
        <v>-0.13670517043792646</v>
      </c>
      <c r="H80" s="7">
        <f>+H57/M5</f>
        <v>-9.659121124563487E-2</v>
      </c>
      <c r="J80" s="7">
        <f>+J57/O5</f>
        <v>-9.9861873101278753E-2</v>
      </c>
      <c r="Q80" s="6"/>
    </row>
    <row r="81" spans="2:17">
      <c r="B81" s="3" t="s">
        <v>611</v>
      </c>
      <c r="Q81" s="6" t="s">
        <v>612</v>
      </c>
    </row>
    <row r="82" spans="2:17">
      <c r="B82" s="6"/>
      <c r="Q82" s="6" t="s">
        <v>613</v>
      </c>
    </row>
    <row r="83" spans="2:17">
      <c r="B83" s="3"/>
      <c r="Q83" s="6" t="s">
        <v>614</v>
      </c>
    </row>
    <row r="84" spans="2:17">
      <c r="B84" s="6"/>
      <c r="Q84" s="9" t="s">
        <v>615</v>
      </c>
    </row>
    <row r="85" spans="2:17">
      <c r="B85" s="6"/>
      <c r="Q85" s="9" t="s">
        <v>616</v>
      </c>
    </row>
    <row r="86" spans="2:17">
      <c r="B86" s="6"/>
      <c r="C86" s="259"/>
    </row>
    <row r="87" spans="2:17">
      <c r="B87" s="6"/>
      <c r="C87" s="6"/>
    </row>
    <row r="89" spans="2:17">
      <c r="B89" s="6"/>
    </row>
    <row r="90" spans="2:17">
      <c r="B90" s="6"/>
    </row>
    <row r="91" spans="2:17">
      <c r="B91" s="6"/>
    </row>
    <row r="92" spans="2:17">
      <c r="B92" s="6"/>
    </row>
    <row r="93" spans="2:17">
      <c r="B93" s="6"/>
    </row>
    <row r="96" spans="2:17">
      <c r="B96" s="3"/>
    </row>
    <row r="97" spans="2:11">
      <c r="B97" s="6"/>
    </row>
    <row r="98" spans="2:11">
      <c r="B98" s="3"/>
    </row>
    <row r="99" spans="2:11">
      <c r="B99" s="6"/>
    </row>
    <row r="102" spans="2:11">
      <c r="B102" s="9"/>
    </row>
    <row r="104" spans="2:11">
      <c r="B104" s="9"/>
      <c r="F104" s="9"/>
      <c r="G104" s="1"/>
      <c r="J104" s="9"/>
    </row>
    <row r="105" spans="2:11">
      <c r="C105" s="7"/>
      <c r="G105" s="7"/>
      <c r="K105" s="7"/>
    </row>
    <row r="106" spans="2:11">
      <c r="B106" s="9"/>
      <c r="C106" s="7"/>
      <c r="F106" s="9"/>
      <c r="G106" s="7"/>
      <c r="J106" s="9"/>
      <c r="K106" s="7"/>
    </row>
    <row r="107" spans="2:11">
      <c r="B107" s="6"/>
      <c r="C107" s="7"/>
      <c r="F107" s="6"/>
      <c r="G107" s="7"/>
      <c r="J107" s="6"/>
      <c r="K107" s="7"/>
    </row>
    <row r="108" spans="2:11">
      <c r="B108" s="9"/>
      <c r="C108" s="7"/>
      <c r="F108" s="9"/>
      <c r="G108" s="7"/>
      <c r="J108" s="9"/>
      <c r="K108" s="7"/>
    </row>
    <row r="109" spans="2:11">
      <c r="C109" s="7"/>
      <c r="G109" s="7"/>
      <c r="K109" s="7"/>
    </row>
    <row r="110" spans="2:11">
      <c r="B110" s="6"/>
      <c r="C110" s="7"/>
      <c r="F110" s="6"/>
      <c r="G110" s="7"/>
      <c r="J110" s="6"/>
      <c r="K110" s="7"/>
    </row>
    <row r="111" spans="2:11">
      <c r="G111" s="1"/>
    </row>
    <row r="112" spans="2:11">
      <c r="B112" s="9"/>
      <c r="C112" s="7"/>
      <c r="F112" s="9"/>
      <c r="G112" s="7"/>
      <c r="J112" s="9"/>
      <c r="K112" s="7"/>
    </row>
    <row r="113" spans="2:11">
      <c r="B113" s="9"/>
      <c r="C113" s="7"/>
      <c r="F113" s="9"/>
      <c r="G113" s="7"/>
      <c r="J113" s="9"/>
      <c r="K113" s="7"/>
    </row>
    <row r="114" spans="2:11">
      <c r="B114" s="6"/>
      <c r="C114" s="7"/>
      <c r="F114" s="6"/>
      <c r="G114" s="7"/>
      <c r="J114" s="6"/>
      <c r="K114" s="7"/>
    </row>
    <row r="115" spans="2:11">
      <c r="C115" s="10"/>
      <c r="D115" s="3"/>
      <c r="G115" s="10"/>
      <c r="K115" s="10"/>
    </row>
    <row r="116" spans="2:11">
      <c r="D116" s="6"/>
    </row>
    <row r="118" spans="2:11">
      <c r="B118" s="3"/>
    </row>
    <row r="119" spans="2:11">
      <c r="B119" s="6"/>
    </row>
    <row r="120" spans="2:11">
      <c r="B120" s="6"/>
    </row>
    <row r="122" spans="2:11">
      <c r="B122" s="9"/>
    </row>
    <row r="123" spans="2:11">
      <c r="B123" s="9"/>
    </row>
    <row r="124" spans="2:11">
      <c r="B124" s="9"/>
    </row>
  </sheetData>
  <mergeCells count="1">
    <mergeCell ref="D3:O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37"/>
  <sheetViews>
    <sheetView topLeftCell="D1" workbookViewId="0">
      <selection activeCell="D97" sqref="D97"/>
    </sheetView>
  </sheetViews>
  <sheetFormatPr baseColWidth="10" defaultRowHeight="12"/>
  <cols>
    <col min="1" max="1" width="2.140625" style="1" customWidth="1"/>
    <col min="2" max="2" width="20.28515625" style="1" customWidth="1"/>
    <col min="3" max="3" width="19.7109375" style="1" bestFit="1" customWidth="1"/>
    <col min="4" max="4" width="11.42578125" style="1"/>
    <col min="5" max="5" width="2.28515625" style="29" customWidth="1"/>
    <col min="6" max="6" width="17" style="1" customWidth="1"/>
    <col min="7" max="7" width="11.85546875" style="29" customWidth="1"/>
    <col min="8" max="8" width="3.42578125" style="1" customWidth="1"/>
    <col min="9" max="9" width="27.28515625" style="1" bestFit="1" customWidth="1"/>
    <col min="10" max="10" width="17.42578125" style="1" bestFit="1" customWidth="1"/>
    <col min="11" max="11" width="2.28515625" style="29" customWidth="1"/>
    <col min="12" max="12" width="7" style="1" customWidth="1"/>
    <col min="13" max="13" width="2.28515625" style="29" customWidth="1"/>
    <col min="14" max="14" width="2.140625" style="1" customWidth="1"/>
    <col min="15" max="15" width="29.140625" style="1" customWidth="1"/>
    <col min="16" max="16384" width="11.42578125" style="1"/>
  </cols>
  <sheetData>
    <row r="2" spans="2:18">
      <c r="B2" s="5" t="s">
        <v>449</v>
      </c>
    </row>
    <row r="3" spans="2:18">
      <c r="D3" s="269" t="s">
        <v>450</v>
      </c>
      <c r="E3" s="269"/>
      <c r="F3" s="269"/>
      <c r="G3" s="269"/>
      <c r="H3" s="269"/>
      <c r="I3" s="269"/>
      <c r="J3" s="269"/>
      <c r="K3" s="269"/>
      <c r="L3" s="269"/>
      <c r="M3" s="269"/>
    </row>
    <row r="4" spans="2:18">
      <c r="C4" s="8" t="s">
        <v>451</v>
      </c>
      <c r="D4" s="7" t="s">
        <v>452</v>
      </c>
      <c r="E4" s="30"/>
      <c r="F4" s="7"/>
      <c r="G4" s="30"/>
      <c r="I4" s="8" t="s">
        <v>454</v>
      </c>
      <c r="J4" s="7" t="s">
        <v>452</v>
      </c>
      <c r="K4" s="30"/>
      <c r="L4" s="7"/>
      <c r="M4" s="30"/>
      <c r="O4" s="7"/>
      <c r="P4" s="7"/>
      <c r="Q4" s="7"/>
      <c r="R4" s="7" t="str">
        <f>+J4</f>
        <v>año 2015</v>
      </c>
    </row>
    <row r="5" spans="2:18">
      <c r="C5" s="8" t="s">
        <v>455</v>
      </c>
      <c r="D5" s="10">
        <f>+SUM(D6:D8)</f>
        <v>593887</v>
      </c>
      <c r="F5" s="10"/>
      <c r="I5" s="8" t="s">
        <v>456</v>
      </c>
      <c r="J5" s="25">
        <f>+J6</f>
        <v>1440021</v>
      </c>
      <c r="L5" s="25"/>
      <c r="O5" s="9" t="s">
        <v>457</v>
      </c>
      <c r="P5" s="6"/>
      <c r="Q5" s="6"/>
      <c r="R5" s="7">
        <f>+J5+J10-D5</f>
        <v>3742014</v>
      </c>
    </row>
    <row r="6" spans="2:18">
      <c r="C6" s="6" t="s">
        <v>458</v>
      </c>
      <c r="D6" s="7"/>
      <c r="F6" s="7"/>
      <c r="I6" s="9" t="s">
        <v>459</v>
      </c>
      <c r="J6" s="10">
        <f>+J7+J8</f>
        <v>1440021</v>
      </c>
      <c r="L6" s="10"/>
      <c r="O6" s="3" t="s">
        <v>460</v>
      </c>
    </row>
    <row r="7" spans="2:18">
      <c r="C7" s="6" t="s">
        <v>461</v>
      </c>
      <c r="D7" s="7">
        <v>383765</v>
      </c>
      <c r="F7" s="7"/>
      <c r="I7" s="6" t="s">
        <v>462</v>
      </c>
      <c r="J7" s="7">
        <v>1053000</v>
      </c>
      <c r="L7" s="6"/>
      <c r="O7" s="6" t="s">
        <v>463</v>
      </c>
    </row>
    <row r="8" spans="2:18">
      <c r="C8" s="6" t="s">
        <v>464</v>
      </c>
      <c r="D8" s="7">
        <v>210122</v>
      </c>
      <c r="F8" s="7"/>
      <c r="I8" s="6" t="s">
        <v>465</v>
      </c>
      <c r="J8" s="7">
        <v>387021</v>
      </c>
      <c r="L8" s="6"/>
      <c r="O8" s="6" t="s">
        <v>466</v>
      </c>
    </row>
    <row r="9" spans="2:18">
      <c r="O9" s="6" t="s">
        <v>467</v>
      </c>
    </row>
    <row r="10" spans="2:18">
      <c r="I10" s="8" t="s">
        <v>468</v>
      </c>
      <c r="J10" s="25">
        <f>+J11+J12</f>
        <v>2895880</v>
      </c>
      <c r="L10" s="25"/>
      <c r="O10" s="6"/>
    </row>
    <row r="11" spans="2:18">
      <c r="C11" s="8" t="s">
        <v>469</v>
      </c>
      <c r="D11" s="10">
        <f>+SUM(D12:D15)</f>
        <v>15319339</v>
      </c>
      <c r="F11" s="10"/>
      <c r="I11" s="6" t="s">
        <v>470</v>
      </c>
      <c r="J11" s="7">
        <v>2895880</v>
      </c>
      <c r="L11" s="7"/>
      <c r="O11" s="6" t="s">
        <v>471</v>
      </c>
    </row>
    <row r="12" spans="2:18">
      <c r="C12" s="253" t="s">
        <v>472</v>
      </c>
      <c r="D12" s="254">
        <v>8030491</v>
      </c>
      <c r="F12" s="7"/>
      <c r="I12" s="6" t="s">
        <v>473</v>
      </c>
      <c r="J12" s="7">
        <v>0</v>
      </c>
      <c r="L12" s="7"/>
      <c r="O12" s="6" t="s">
        <v>474</v>
      </c>
    </row>
    <row r="13" spans="2:18">
      <c r="C13" s="6" t="s">
        <v>475</v>
      </c>
      <c r="D13" s="7"/>
      <c r="F13" s="7"/>
      <c r="O13" s="6" t="s">
        <v>476</v>
      </c>
    </row>
    <row r="14" spans="2:18">
      <c r="C14" s="6" t="s">
        <v>477</v>
      </c>
      <c r="D14" s="7">
        <v>5477951</v>
      </c>
      <c r="F14" s="7"/>
      <c r="I14" s="8" t="s">
        <v>478</v>
      </c>
      <c r="J14" s="25">
        <f>+J15+J17</f>
        <v>11577325</v>
      </c>
      <c r="L14" s="25"/>
      <c r="O14" s="6"/>
    </row>
    <row r="15" spans="2:18">
      <c r="C15" s="6" t="s">
        <v>479</v>
      </c>
      <c r="D15" s="7">
        <v>1810897</v>
      </c>
      <c r="F15" s="7"/>
      <c r="I15" s="9" t="s">
        <v>480</v>
      </c>
      <c r="J15" s="10">
        <f>+J16</f>
        <v>2764906</v>
      </c>
      <c r="L15" s="10"/>
      <c r="O15" s="6" t="s">
        <v>481</v>
      </c>
    </row>
    <row r="16" spans="2:18">
      <c r="I16" s="6" t="s">
        <v>482</v>
      </c>
      <c r="J16" s="7">
        <v>2764906</v>
      </c>
      <c r="L16" s="7"/>
      <c r="O16" s="6" t="s">
        <v>483</v>
      </c>
    </row>
    <row r="17" spans="2:18">
      <c r="I17" s="9" t="s">
        <v>484</v>
      </c>
      <c r="J17" s="10">
        <f>+J18+J19</f>
        <v>8812419</v>
      </c>
      <c r="L17" s="10"/>
      <c r="O17" s="6"/>
    </row>
    <row r="18" spans="2:18">
      <c r="F18" s="29"/>
      <c r="I18" s="6" t="s">
        <v>485</v>
      </c>
      <c r="J18" s="7">
        <v>221444</v>
      </c>
      <c r="L18" s="7"/>
      <c r="O18" s="6"/>
    </row>
    <row r="19" spans="2:18">
      <c r="I19" s="6" t="s">
        <v>486</v>
      </c>
      <c r="J19" s="7">
        <v>8590975</v>
      </c>
      <c r="O19" s="6"/>
    </row>
    <row r="20" spans="2:18" ht="12.75" thickBot="1">
      <c r="O20" s="6"/>
    </row>
    <row r="21" spans="2:18" ht="13.5" thickTop="1" thickBot="1">
      <c r="C21" s="25" t="s">
        <v>487</v>
      </c>
      <c r="D21" s="255">
        <f>+D11+D5</f>
        <v>15913226</v>
      </c>
      <c r="F21" s="256"/>
      <c r="I21" s="8" t="s">
        <v>488</v>
      </c>
      <c r="J21" s="256">
        <f>+J14+J10+J5</f>
        <v>15913226</v>
      </c>
      <c r="L21" s="255"/>
      <c r="O21" s="6"/>
    </row>
    <row r="22" spans="2:18" ht="12.75" thickTop="1">
      <c r="O22" s="6"/>
    </row>
    <row r="23" spans="2:18">
      <c r="O23" s="6"/>
    </row>
    <row r="24" spans="2:18">
      <c r="O24" s="6"/>
    </row>
    <row r="25" spans="2:18">
      <c r="B25" s="6" t="s">
        <v>489</v>
      </c>
      <c r="O25" s="6"/>
    </row>
    <row r="26" spans="2:18">
      <c r="B26" s="6" t="s">
        <v>490</v>
      </c>
    </row>
    <row r="27" spans="2:18">
      <c r="B27" s="6" t="s">
        <v>491</v>
      </c>
      <c r="O27" s="8" t="s">
        <v>492</v>
      </c>
    </row>
    <row r="29" spans="2:18">
      <c r="F29" s="7" t="s">
        <v>452</v>
      </c>
      <c r="I29" s="7"/>
      <c r="P29" s="7"/>
      <c r="Q29" s="7"/>
      <c r="R29" s="7" t="str">
        <f>+R4</f>
        <v>año 2015</v>
      </c>
    </row>
    <row r="30" spans="2:18">
      <c r="B30" s="6" t="s">
        <v>493</v>
      </c>
      <c r="F30" s="7">
        <v>20097561</v>
      </c>
      <c r="I30" s="7"/>
      <c r="O30" s="7" t="s">
        <v>494</v>
      </c>
      <c r="P30" s="7"/>
      <c r="Q30" s="7"/>
      <c r="R30" s="7">
        <f>+(D11/J14)</f>
        <v>1.3232192237844234</v>
      </c>
    </row>
    <row r="31" spans="2:18">
      <c r="B31" s="6"/>
      <c r="F31" s="7"/>
      <c r="I31" s="7"/>
      <c r="O31" s="7" t="s">
        <v>495</v>
      </c>
      <c r="P31" s="7"/>
      <c r="Q31" s="7"/>
      <c r="R31" s="7">
        <f>+(D11-D12)/J14</f>
        <v>0.62957963087328028</v>
      </c>
    </row>
    <row r="32" spans="2:18">
      <c r="B32" s="6"/>
      <c r="F32" s="7"/>
      <c r="I32" s="7"/>
      <c r="O32" s="7" t="s">
        <v>496</v>
      </c>
      <c r="P32" s="7"/>
      <c r="Q32" s="7"/>
      <c r="R32" s="7">
        <f>+D15/J14</f>
        <v>0.15641756623399619</v>
      </c>
    </row>
    <row r="33" spans="2:18">
      <c r="B33" s="6"/>
      <c r="F33" s="7"/>
      <c r="I33" s="7"/>
      <c r="O33" s="7"/>
      <c r="P33" s="7"/>
      <c r="Q33" s="7"/>
      <c r="R33" s="7"/>
    </row>
    <row r="34" spans="2:18">
      <c r="O34" s="6" t="s">
        <v>497</v>
      </c>
    </row>
    <row r="35" spans="2:18">
      <c r="B35" s="9" t="s">
        <v>498</v>
      </c>
      <c r="F35" s="10">
        <v>828971</v>
      </c>
      <c r="I35" s="10"/>
      <c r="O35" s="6" t="s">
        <v>499</v>
      </c>
    </row>
    <row r="36" spans="2:18">
      <c r="B36" s="9"/>
      <c r="C36" s="3"/>
      <c r="F36" s="10"/>
      <c r="I36" s="10"/>
      <c r="O36" s="6" t="s">
        <v>500</v>
      </c>
    </row>
    <row r="37" spans="2:18">
      <c r="B37" s="9"/>
      <c r="C37" s="6"/>
      <c r="F37" s="10"/>
      <c r="I37" s="10"/>
      <c r="O37" s="6" t="s">
        <v>501</v>
      </c>
    </row>
    <row r="38" spans="2:18">
      <c r="B38" s="9"/>
      <c r="F38" s="10"/>
      <c r="I38" s="10"/>
      <c r="O38" s="6" t="s">
        <v>502</v>
      </c>
    </row>
    <row r="39" spans="2:18">
      <c r="B39" s="9" t="s">
        <v>503</v>
      </c>
      <c r="F39" s="7">
        <f>+F35-F40</f>
        <v>7329</v>
      </c>
      <c r="I39" s="7"/>
      <c r="O39" s="6" t="s">
        <v>504</v>
      </c>
    </row>
    <row r="40" spans="2:18">
      <c r="B40" s="9" t="s">
        <v>505</v>
      </c>
      <c r="F40" s="10">
        <v>821642</v>
      </c>
      <c r="I40" s="10"/>
      <c r="O40" s="6" t="s">
        <v>506</v>
      </c>
    </row>
    <row r="42" spans="2:18">
      <c r="O42" s="6" t="s">
        <v>507</v>
      </c>
    </row>
    <row r="43" spans="2:18">
      <c r="B43" s="6" t="s">
        <v>508</v>
      </c>
      <c r="F43" s="7">
        <v>80</v>
      </c>
      <c r="I43" s="7"/>
      <c r="O43" s="6" t="s">
        <v>509</v>
      </c>
    </row>
    <row r="44" spans="2:18">
      <c r="B44" s="6" t="s">
        <v>510</v>
      </c>
      <c r="F44" s="7">
        <v>-278876</v>
      </c>
      <c r="I44" s="7"/>
      <c r="O44" s="6" t="s">
        <v>511</v>
      </c>
    </row>
    <row r="46" spans="2:18">
      <c r="O46" s="8" t="s">
        <v>512</v>
      </c>
      <c r="P46" s="7"/>
      <c r="Q46" s="7"/>
      <c r="R46" s="7" t="str">
        <f>+R29</f>
        <v>año 2015</v>
      </c>
    </row>
    <row r="47" spans="2:18">
      <c r="B47" s="9" t="s">
        <v>513</v>
      </c>
      <c r="F47" s="10">
        <f>+F43+F44</f>
        <v>-278796</v>
      </c>
      <c r="I47" s="10"/>
      <c r="O47" s="6" t="s">
        <v>514</v>
      </c>
      <c r="P47" s="7"/>
      <c r="Q47" s="7"/>
      <c r="R47" s="7">
        <f>+(J10+J14)/J5</f>
        <v>10.050690232989657</v>
      </c>
    </row>
    <row r="48" spans="2:18">
      <c r="O48" s="6" t="s">
        <v>515</v>
      </c>
      <c r="P48" s="7"/>
      <c r="Q48" s="7"/>
      <c r="R48" s="7">
        <f>+(J10+J15)/J5</f>
        <v>3.9310440611629969</v>
      </c>
    </row>
    <row r="49" spans="2:18">
      <c r="B49" s="9" t="s">
        <v>516</v>
      </c>
      <c r="F49" s="10">
        <f>+F47+F40</f>
        <v>542846</v>
      </c>
      <c r="I49" s="10"/>
      <c r="O49" s="6" t="s">
        <v>517</v>
      </c>
      <c r="P49" s="7"/>
      <c r="Q49" s="7"/>
      <c r="R49" s="7">
        <f>+(J6/(J6+J10))</f>
        <v>0.33211574710769459</v>
      </c>
    </row>
    <row r="50" spans="2:18">
      <c r="O50" s="9" t="s">
        <v>518</v>
      </c>
      <c r="P50" s="7"/>
      <c r="Q50" s="257"/>
      <c r="R50" s="42">
        <f>+(1-F60)*F44*-1/(J10+J15)</f>
        <v>3.5268985416417653E-2</v>
      </c>
    </row>
    <row r="51" spans="2:18">
      <c r="B51" s="6" t="s">
        <v>519</v>
      </c>
      <c r="F51" s="7">
        <v>-154217</v>
      </c>
      <c r="I51" s="258"/>
    </row>
    <row r="52" spans="2:18">
      <c r="B52" s="6"/>
      <c r="C52" s="6"/>
      <c r="F52" s="7"/>
      <c r="I52" s="258"/>
      <c r="O52" s="6"/>
    </row>
    <row r="53" spans="2:18">
      <c r="B53" s="6"/>
      <c r="C53" s="6"/>
      <c r="F53" s="7"/>
      <c r="I53" s="258"/>
      <c r="O53" s="3" t="s">
        <v>520</v>
      </c>
    </row>
    <row r="54" spans="2:18">
      <c r="B54" s="6"/>
      <c r="C54" s="6"/>
      <c r="F54" s="7"/>
      <c r="I54" s="258"/>
      <c r="O54" s="6" t="s">
        <v>521</v>
      </c>
    </row>
    <row r="55" spans="2:18">
      <c r="B55" s="6"/>
      <c r="C55" s="6"/>
      <c r="F55" s="7"/>
      <c r="I55" s="258"/>
      <c r="O55" s="6" t="s">
        <v>522</v>
      </c>
    </row>
    <row r="56" spans="2:18">
      <c r="O56" s="6" t="s">
        <v>523</v>
      </c>
    </row>
    <row r="57" spans="2:18">
      <c r="B57" s="9" t="s">
        <v>524</v>
      </c>
      <c r="F57" s="10">
        <f>+F49+F51</f>
        <v>388629</v>
      </c>
      <c r="I57" s="10"/>
      <c r="O57" s="6" t="s">
        <v>525</v>
      </c>
    </row>
    <row r="58" spans="2:18">
      <c r="O58" s="6" t="s">
        <v>526</v>
      </c>
    </row>
    <row r="59" spans="2:18">
      <c r="O59" s="6" t="s">
        <v>527</v>
      </c>
    </row>
    <row r="60" spans="2:18">
      <c r="B60" s="6" t="s">
        <v>528</v>
      </c>
      <c r="F60" s="7">
        <f>-F51/F49</f>
        <v>0.2840897786849309</v>
      </c>
      <c r="O60" s="6" t="s">
        <v>529</v>
      </c>
    </row>
    <row r="61" spans="2:18">
      <c r="B61" s="6"/>
      <c r="F61" s="7"/>
      <c r="I61" s="7"/>
      <c r="O61" s="3" t="s">
        <v>530</v>
      </c>
    </row>
    <row r="62" spans="2:18">
      <c r="B62" s="6"/>
      <c r="F62" s="7"/>
      <c r="I62" s="7"/>
      <c r="O62" s="6"/>
    </row>
    <row r="63" spans="2:18">
      <c r="O63" s="6"/>
    </row>
    <row r="64" spans="2:18">
      <c r="B64" s="6" t="s">
        <v>531</v>
      </c>
      <c r="O64" s="3"/>
    </row>
    <row r="65" spans="2:18">
      <c r="F65" s="7" t="s">
        <v>452</v>
      </c>
      <c r="I65" s="7"/>
      <c r="O65" s="6"/>
    </row>
    <row r="66" spans="2:18">
      <c r="B66" s="9" t="s">
        <v>532</v>
      </c>
    </row>
    <row r="67" spans="2:18">
      <c r="B67" s="6" t="s">
        <v>533</v>
      </c>
      <c r="F67" s="7">
        <f>+F40/F30</f>
        <v>4.0882672280482195E-2</v>
      </c>
      <c r="I67" s="7"/>
      <c r="O67" s="3"/>
    </row>
    <row r="68" spans="2:18">
      <c r="B68" s="6" t="s">
        <v>534</v>
      </c>
      <c r="F68" s="7">
        <f>+F30/D21</f>
        <v>1.2629469976735075</v>
      </c>
      <c r="I68" s="7"/>
      <c r="P68" s="7"/>
      <c r="Q68" s="7"/>
      <c r="R68" s="7" t="str">
        <f>+R4</f>
        <v>año 2015</v>
      </c>
    </row>
    <row r="69" spans="2:18">
      <c r="O69" s="6" t="s">
        <v>535</v>
      </c>
      <c r="P69" s="7"/>
      <c r="Q69" s="7"/>
      <c r="R69" s="7">
        <f>+D14</f>
        <v>5477951</v>
      </c>
    </row>
    <row r="70" spans="2:18">
      <c r="B70" s="9" t="s">
        <v>536</v>
      </c>
      <c r="F70" s="42">
        <f>+F68*F67</f>
        <v>5.1632648213504918E-2</v>
      </c>
      <c r="I70" s="7"/>
      <c r="O70" s="6" t="s">
        <v>537</v>
      </c>
      <c r="P70" s="7"/>
      <c r="Q70" s="7"/>
      <c r="R70" s="7">
        <f>+D12</f>
        <v>8030491</v>
      </c>
    </row>
    <row r="71" spans="2:18">
      <c r="B71" s="6" t="s">
        <v>538</v>
      </c>
      <c r="F71" s="42">
        <f>+F40/D21</f>
        <v>5.1632648213504918E-2</v>
      </c>
      <c r="O71" s="9" t="s">
        <v>539</v>
      </c>
      <c r="P71" s="10"/>
      <c r="Q71" s="10"/>
      <c r="R71" s="10">
        <f>+R69+R70</f>
        <v>13508442</v>
      </c>
    </row>
    <row r="72" spans="2:18">
      <c r="B72" s="6" t="s">
        <v>540</v>
      </c>
      <c r="F72" s="42">
        <f>+F67*F68</f>
        <v>5.1632648213504918E-2</v>
      </c>
      <c r="O72" s="6" t="s">
        <v>485</v>
      </c>
      <c r="P72" s="7"/>
      <c r="Q72" s="7"/>
      <c r="R72" s="7">
        <f>+J17</f>
        <v>8812419</v>
      </c>
    </row>
    <row r="73" spans="2:18">
      <c r="O73" s="9" t="s">
        <v>541</v>
      </c>
      <c r="P73" s="10"/>
      <c r="Q73" s="10"/>
      <c r="R73" s="10">
        <f>+R72</f>
        <v>8812419</v>
      </c>
    </row>
    <row r="74" spans="2:18">
      <c r="B74" s="3" t="s">
        <v>542</v>
      </c>
    </row>
    <row r="75" spans="2:18">
      <c r="B75" s="6" t="s">
        <v>543</v>
      </c>
      <c r="O75" s="9" t="s">
        <v>544</v>
      </c>
      <c r="P75" s="7"/>
      <c r="Q75" s="7"/>
      <c r="R75" s="7">
        <f>+R71-R73</f>
        <v>4696023</v>
      </c>
    </row>
    <row r="76" spans="2:18">
      <c r="B76" s="6" t="s">
        <v>545</v>
      </c>
      <c r="O76" s="9"/>
      <c r="P76" s="7"/>
      <c r="Q76" s="7"/>
      <c r="R76" s="7"/>
    </row>
    <row r="77" spans="2:18">
      <c r="B77" s="6" t="s">
        <v>546</v>
      </c>
      <c r="O77" s="3" t="s">
        <v>547</v>
      </c>
    </row>
    <row r="78" spans="2:18">
      <c r="B78" s="6" t="s">
        <v>548</v>
      </c>
      <c r="O78" s="3" t="s">
        <v>549</v>
      </c>
    </row>
    <row r="79" spans="2:18">
      <c r="B79" s="6" t="s">
        <v>550</v>
      </c>
      <c r="F79" s="7"/>
      <c r="I79" s="7"/>
      <c r="O79" s="6" t="s">
        <v>551</v>
      </c>
    </row>
    <row r="80" spans="2:18">
      <c r="B80" s="3" t="s">
        <v>552</v>
      </c>
      <c r="F80" s="7"/>
      <c r="I80" s="7"/>
      <c r="O80" s="6" t="s">
        <v>553</v>
      </c>
    </row>
    <row r="81" spans="2:15">
      <c r="B81" s="6" t="s">
        <v>554</v>
      </c>
      <c r="F81" s="7"/>
      <c r="I81" s="7"/>
      <c r="O81" s="6"/>
    </row>
    <row r="82" spans="2:15">
      <c r="B82" s="6"/>
      <c r="F82" s="7"/>
      <c r="I82" s="7"/>
      <c r="O82" s="6"/>
    </row>
    <row r="83" spans="2:15">
      <c r="B83" s="8" t="s">
        <v>555</v>
      </c>
      <c r="C83" s="10">
        <f>+F57/J5</f>
        <v>0.26987731428916661</v>
      </c>
      <c r="F83" s="7"/>
      <c r="I83" s="7"/>
      <c r="O83" s="6"/>
    </row>
    <row r="84" spans="2:15">
      <c r="B84" s="3"/>
      <c r="O84" s="6"/>
    </row>
    <row r="85" spans="2:15">
      <c r="B85" s="3" t="s">
        <v>556</v>
      </c>
      <c r="C85" s="7"/>
      <c r="O85" s="6"/>
    </row>
    <row r="86" spans="2:15">
      <c r="B86" s="3" t="s">
        <v>557</v>
      </c>
      <c r="O86" s="6"/>
    </row>
    <row r="87" spans="2:15">
      <c r="B87" s="6" t="s">
        <v>558</v>
      </c>
      <c r="O87" s="9"/>
    </row>
    <row r="88" spans="2:15">
      <c r="B88" s="6" t="s">
        <v>559</v>
      </c>
      <c r="O88" s="9"/>
    </row>
    <row r="89" spans="2:15">
      <c r="B89" s="6"/>
      <c r="C89" s="259"/>
    </row>
    <row r="90" spans="2:15">
      <c r="B90" s="6" t="s">
        <v>560</v>
      </c>
      <c r="C90" s="7">
        <f>+J10+J14</f>
        <v>14473205</v>
      </c>
    </row>
    <row r="91" spans="2:15">
      <c r="B91" s="6" t="s">
        <v>561</v>
      </c>
      <c r="C91" s="7">
        <f>+J5</f>
        <v>1440021</v>
      </c>
    </row>
    <row r="92" spans="2:15">
      <c r="B92" s="6"/>
    </row>
    <row r="93" spans="2:15">
      <c r="B93" s="9" t="s">
        <v>562</v>
      </c>
      <c r="C93" s="10">
        <f>+C90/C91</f>
        <v>10.050690232989657</v>
      </c>
      <c r="D93" s="3" t="s">
        <v>563</v>
      </c>
    </row>
    <row r="94" spans="2:15">
      <c r="B94" s="6"/>
      <c r="D94" s="6" t="s">
        <v>564</v>
      </c>
    </row>
    <row r="95" spans="2:15">
      <c r="B95" s="6"/>
      <c r="C95" s="7" t="s">
        <v>158</v>
      </c>
    </row>
    <row r="96" spans="2:15">
      <c r="B96" s="10" t="s">
        <v>565</v>
      </c>
      <c r="C96" s="7">
        <f>+F44*-1*(1-F60)</f>
        <v>199650.17887946122</v>
      </c>
      <c r="D96" s="3" t="s">
        <v>566</v>
      </c>
    </row>
    <row r="97" spans="2:13">
      <c r="D97" s="6" t="s">
        <v>567</v>
      </c>
    </row>
    <row r="99" spans="2:13">
      <c r="B99" s="25" t="s">
        <v>568</v>
      </c>
      <c r="C99" s="260">
        <v>0.03</v>
      </c>
      <c r="D99" s="6" t="s">
        <v>569</v>
      </c>
    </row>
    <row r="100" spans="2:13">
      <c r="D100" s="6" t="s">
        <v>570</v>
      </c>
    </row>
    <row r="101" spans="2:13">
      <c r="B101" s="25" t="s">
        <v>571</v>
      </c>
      <c r="C101" s="25">
        <f>+F70-C99</f>
        <v>2.1632648213504919E-2</v>
      </c>
      <c r="D101" s="3" t="s">
        <v>572</v>
      </c>
    </row>
    <row r="102" spans="2:13">
      <c r="D102" s="6" t="s">
        <v>573</v>
      </c>
    </row>
    <row r="103" spans="2:13">
      <c r="B103" s="7" t="s">
        <v>574</v>
      </c>
      <c r="C103" s="7">
        <f>+C101*C93</f>
        <v>0.21742304611317506</v>
      </c>
    </row>
    <row r="105" spans="2:13">
      <c r="B105" s="3" t="s">
        <v>575</v>
      </c>
    </row>
    <row r="106" spans="2:13">
      <c r="B106" s="6" t="s">
        <v>576</v>
      </c>
    </row>
    <row r="107" spans="2:13">
      <c r="B107" s="6" t="s">
        <v>577</v>
      </c>
    </row>
    <row r="109" spans="2:13">
      <c r="B109" s="3" t="s">
        <v>578</v>
      </c>
    </row>
    <row r="110" spans="2:13">
      <c r="B110" s="6" t="s">
        <v>579</v>
      </c>
      <c r="K110" s="1"/>
      <c r="M110" s="1"/>
    </row>
    <row r="111" spans="2:13">
      <c r="B111" s="3" t="s">
        <v>580</v>
      </c>
      <c r="K111" s="1"/>
      <c r="M111" s="1"/>
    </row>
    <row r="112" spans="2:13">
      <c r="B112" s="6" t="s">
        <v>581</v>
      </c>
      <c r="K112" s="1"/>
      <c r="M112" s="1"/>
    </row>
    <row r="115" spans="2:13">
      <c r="B115" s="9"/>
      <c r="K115" s="1"/>
      <c r="M115" s="1"/>
    </row>
    <row r="117" spans="2:13">
      <c r="B117" s="9"/>
      <c r="F117" s="9"/>
      <c r="G117" s="1"/>
      <c r="I117" s="9"/>
      <c r="K117" s="1"/>
      <c r="M117" s="1"/>
    </row>
    <row r="118" spans="2:13">
      <c r="C118" s="7"/>
      <c r="G118" s="7"/>
      <c r="J118" s="7"/>
      <c r="K118" s="1"/>
      <c r="M118" s="1"/>
    </row>
    <row r="119" spans="2:13">
      <c r="B119" s="9"/>
      <c r="C119" s="7"/>
      <c r="F119" s="9"/>
      <c r="G119" s="7"/>
      <c r="I119" s="9"/>
      <c r="J119" s="7"/>
      <c r="K119" s="1"/>
      <c r="M119" s="1"/>
    </row>
    <row r="120" spans="2:13">
      <c r="B120" s="6"/>
      <c r="C120" s="7"/>
      <c r="F120" s="6"/>
      <c r="G120" s="7"/>
      <c r="I120" s="6"/>
      <c r="J120" s="7"/>
      <c r="K120" s="1"/>
      <c r="M120" s="1"/>
    </row>
    <row r="121" spans="2:13">
      <c r="B121" s="9"/>
      <c r="C121" s="7"/>
      <c r="F121" s="9"/>
      <c r="G121" s="7"/>
      <c r="I121" s="9"/>
      <c r="J121" s="7"/>
      <c r="K121" s="1"/>
      <c r="M121" s="1"/>
    </row>
    <row r="122" spans="2:13">
      <c r="C122" s="7"/>
      <c r="G122" s="7"/>
      <c r="J122" s="7"/>
      <c r="K122" s="1"/>
      <c r="M122" s="1"/>
    </row>
    <row r="123" spans="2:13">
      <c r="B123" s="6"/>
      <c r="C123" s="7"/>
      <c r="F123" s="6"/>
      <c r="G123" s="7"/>
      <c r="I123" s="6"/>
      <c r="J123" s="7"/>
      <c r="K123" s="1"/>
      <c r="M123" s="1"/>
    </row>
    <row r="124" spans="2:13">
      <c r="G124" s="1"/>
      <c r="K124" s="1"/>
      <c r="M124" s="1"/>
    </row>
    <row r="125" spans="2:13">
      <c r="B125" s="9"/>
      <c r="C125" s="7"/>
      <c r="F125" s="9"/>
      <c r="G125" s="7"/>
      <c r="I125" s="9"/>
      <c r="J125" s="7"/>
      <c r="K125" s="1"/>
      <c r="M125" s="1"/>
    </row>
    <row r="126" spans="2:13">
      <c r="B126" s="9"/>
      <c r="C126" s="7"/>
      <c r="F126" s="9"/>
      <c r="G126" s="7"/>
      <c r="I126" s="9"/>
      <c r="J126" s="7"/>
      <c r="K126" s="1"/>
      <c r="M126" s="1"/>
    </row>
    <row r="127" spans="2:13">
      <c r="B127" s="6"/>
      <c r="C127" s="7"/>
      <c r="F127" s="6"/>
      <c r="G127" s="7"/>
      <c r="I127" s="6"/>
      <c r="J127" s="7"/>
      <c r="K127" s="1"/>
      <c r="M127" s="1"/>
    </row>
    <row r="128" spans="2:13">
      <c r="C128" s="10"/>
      <c r="D128" s="3"/>
      <c r="G128" s="10"/>
      <c r="J128" s="10"/>
      <c r="K128" s="1"/>
      <c r="M128" s="1"/>
    </row>
    <row r="129" spans="2:13">
      <c r="D129" s="6"/>
      <c r="K129" s="1"/>
      <c r="M129" s="1"/>
    </row>
    <row r="131" spans="2:13">
      <c r="B131" s="3"/>
      <c r="K131" s="1"/>
      <c r="M131" s="1"/>
    </row>
    <row r="132" spans="2:13">
      <c r="B132" s="6"/>
      <c r="K132" s="1"/>
      <c r="M132" s="1"/>
    </row>
    <row r="133" spans="2:13">
      <c r="B133" s="6"/>
      <c r="K133" s="1"/>
      <c r="M133" s="1"/>
    </row>
    <row r="135" spans="2:13">
      <c r="B135" s="9"/>
      <c r="K135" s="1"/>
      <c r="M135" s="1"/>
    </row>
    <row r="136" spans="2:13">
      <c r="B136" s="9"/>
      <c r="K136" s="1"/>
      <c r="M136" s="1"/>
    </row>
    <row r="137" spans="2:13">
      <c r="B137" s="9"/>
      <c r="K137" s="1"/>
      <c r="M137" s="1"/>
    </row>
  </sheetData>
  <mergeCells count="1">
    <mergeCell ref="D3:M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T113"/>
  <sheetViews>
    <sheetView tabSelected="1" workbookViewId="0">
      <selection activeCell="E34" sqref="E34"/>
    </sheetView>
  </sheetViews>
  <sheetFormatPr baseColWidth="10" defaultRowHeight="12"/>
  <cols>
    <col min="1" max="1" width="2.140625" style="1" customWidth="1"/>
    <col min="2" max="2" width="13.7109375" style="1" customWidth="1"/>
    <col min="3" max="3" width="19.7109375" style="1" bestFit="1" customWidth="1"/>
    <col min="4" max="4" width="12.28515625" style="1" bestFit="1" customWidth="1"/>
    <col min="5" max="5" width="2.28515625" style="29" customWidth="1"/>
    <col min="6" max="6" width="16.5703125" style="1" customWidth="1"/>
    <col min="7" max="7" width="8.5703125" style="29" customWidth="1"/>
    <col min="8" max="8" width="12.28515625" style="1" bestFit="1" customWidth="1"/>
    <col min="9" max="9" width="3.42578125" style="1" customWidth="1"/>
    <col min="10" max="10" width="27.28515625" style="1" bestFit="1" customWidth="1"/>
    <col min="11" max="11" width="17.42578125" style="1" bestFit="1" customWidth="1"/>
    <col min="12" max="12" width="2.28515625" style="29" customWidth="1"/>
    <col min="13" max="13" width="12" style="1" bestFit="1" customWidth="1"/>
    <col min="14" max="14" width="2.28515625" style="29" customWidth="1"/>
    <col min="15" max="15" width="12" style="1" bestFit="1" customWidth="1"/>
    <col min="16" max="16" width="2.140625" style="1" customWidth="1"/>
    <col min="17" max="17" width="29.140625" style="1" customWidth="1"/>
    <col min="18" max="18" width="14" style="1" customWidth="1"/>
    <col min="19" max="20" width="12.5703125" style="1" customWidth="1"/>
    <col min="21" max="16384" width="11.42578125" style="1"/>
  </cols>
  <sheetData>
    <row r="3" spans="3:20">
      <c r="D3" s="269" t="s">
        <v>674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453</v>
      </c>
      <c r="G4" s="30"/>
      <c r="H4" s="7" t="s">
        <v>583</v>
      </c>
      <c r="J4" s="8" t="s">
        <v>454</v>
      </c>
      <c r="K4" s="7" t="s">
        <v>452</v>
      </c>
      <c r="L4" s="30"/>
      <c r="M4" s="7" t="s">
        <v>453</v>
      </c>
      <c r="N4" s="30"/>
      <c r="O4" s="7" t="s">
        <v>583</v>
      </c>
      <c r="Q4" s="7" t="s">
        <v>620</v>
      </c>
      <c r="R4" s="7" t="str">
        <f>+O4</f>
        <v>año 2013</v>
      </c>
      <c r="S4" s="7" t="str">
        <f>+M4</f>
        <v>año 2014</v>
      </c>
      <c r="T4" s="7" t="str">
        <f>+K4</f>
        <v>año 2015</v>
      </c>
    </row>
    <row r="5" spans="3:20">
      <c r="C5" s="8" t="s">
        <v>455</v>
      </c>
      <c r="D5" s="10">
        <f>+SUM(D6:D8)</f>
        <v>74836187</v>
      </c>
      <c r="F5" s="10">
        <f>+SUM(F6:F8)</f>
        <v>68433383</v>
      </c>
      <c r="H5" s="9">
        <f>+SUM(H6:H8)</f>
        <v>72429796</v>
      </c>
      <c r="J5" s="8" t="s">
        <v>456</v>
      </c>
      <c r="K5" s="25">
        <f>+K6</f>
        <v>-4561677</v>
      </c>
      <c r="M5" s="25">
        <f>+M6</f>
        <v>-12563636</v>
      </c>
      <c r="O5" s="25">
        <f>+O6</f>
        <v>-19279098</v>
      </c>
      <c r="Q5" s="9" t="s">
        <v>457</v>
      </c>
      <c r="R5" s="6">
        <f>+O5+O10-H5</f>
        <v>-76396594</v>
      </c>
      <c r="S5" s="6">
        <f>+M6+M10-F5</f>
        <v>-67498313</v>
      </c>
      <c r="T5" s="7">
        <f>+K5+K10-D5</f>
        <v>-66000945</v>
      </c>
    </row>
    <row r="6" spans="3:20">
      <c r="C6" s="6" t="s">
        <v>458</v>
      </c>
      <c r="D6" s="7">
        <v>22046</v>
      </c>
      <c r="F6" s="7">
        <v>3891</v>
      </c>
      <c r="H6" s="7">
        <v>389</v>
      </c>
      <c r="J6" s="9" t="s">
        <v>459</v>
      </c>
      <c r="K6" s="10">
        <v>-4561677</v>
      </c>
      <c r="M6" s="10">
        <f>+M7+M8</f>
        <v>-12563636</v>
      </c>
      <c r="O6" s="10">
        <f>+O7+O8</f>
        <v>-19279098</v>
      </c>
      <c r="Q6" s="3"/>
    </row>
    <row r="7" spans="3:20">
      <c r="C7" s="6" t="s">
        <v>461</v>
      </c>
      <c r="D7" s="7">
        <v>73629677</v>
      </c>
      <c r="F7" s="7">
        <v>67216122</v>
      </c>
      <c r="H7" s="6">
        <v>71154654</v>
      </c>
      <c r="J7" s="6" t="s">
        <v>462</v>
      </c>
      <c r="K7" s="7">
        <v>602220</v>
      </c>
      <c r="M7" s="6">
        <v>60160</v>
      </c>
      <c r="O7" s="7">
        <v>60100</v>
      </c>
      <c r="Q7" s="6"/>
    </row>
    <row r="8" spans="3:20">
      <c r="C8" s="6" t="s">
        <v>464</v>
      </c>
      <c r="D8" s="7">
        <v>1184464</v>
      </c>
      <c r="F8" s="7">
        <v>1213370</v>
      </c>
      <c r="H8" s="7">
        <v>1274753</v>
      </c>
      <c r="J8" s="6" t="s">
        <v>465</v>
      </c>
      <c r="K8" s="7">
        <v>-4621897</v>
      </c>
      <c r="M8" s="6">
        <v>-12623796</v>
      </c>
      <c r="O8" s="7">
        <v>-19339198</v>
      </c>
      <c r="Q8" s="6"/>
    </row>
    <row r="9" spans="3:20">
      <c r="Q9" s="6"/>
    </row>
    <row r="10" spans="3:20">
      <c r="J10" s="8" t="s">
        <v>468</v>
      </c>
      <c r="K10" s="25">
        <f>+K11+K12</f>
        <v>13396919</v>
      </c>
      <c r="M10" s="25">
        <f>+M11+M12</f>
        <v>13498706</v>
      </c>
      <c r="O10" s="25">
        <f>+O11+O12</f>
        <v>15312300</v>
      </c>
      <c r="Q10" s="6"/>
    </row>
    <row r="11" spans="3:20">
      <c r="C11" s="8" t="s">
        <v>469</v>
      </c>
      <c r="D11" s="10">
        <f>+SUM(D12:D15)</f>
        <v>77887946</v>
      </c>
      <c r="F11" s="10">
        <f>+SUM(F12:F15)</f>
        <v>70662521</v>
      </c>
      <c r="H11" s="10">
        <f>+SUM(H12:H15)</f>
        <v>85521886</v>
      </c>
      <c r="J11" s="6" t="s">
        <v>470</v>
      </c>
      <c r="K11" s="7">
        <v>2427</v>
      </c>
      <c r="M11" s="7">
        <v>68518</v>
      </c>
      <c r="O11" s="7">
        <v>67867</v>
      </c>
      <c r="Q11" s="6"/>
    </row>
    <row r="12" spans="3:20">
      <c r="C12" s="6" t="s">
        <v>472</v>
      </c>
      <c r="D12" s="7">
        <v>532630</v>
      </c>
      <c r="F12" s="7">
        <v>659605</v>
      </c>
      <c r="H12" s="7">
        <v>700629</v>
      </c>
      <c r="J12" s="6" t="s">
        <v>473</v>
      </c>
      <c r="K12" s="7">
        <v>13394492</v>
      </c>
      <c r="M12" s="7">
        <v>13430188</v>
      </c>
      <c r="O12" s="7">
        <v>15244433</v>
      </c>
      <c r="Q12" s="6"/>
    </row>
    <row r="13" spans="3:20">
      <c r="C13" s="6" t="s">
        <v>475</v>
      </c>
      <c r="D13" s="7"/>
      <c r="Q13" s="6"/>
    </row>
    <row r="14" spans="3:20">
      <c r="C14" s="6" t="s">
        <v>477</v>
      </c>
      <c r="D14" s="7">
        <v>24741543</v>
      </c>
      <c r="F14" s="7">
        <v>28687774</v>
      </c>
      <c r="H14" s="7">
        <v>30831639</v>
      </c>
      <c r="J14" s="8" t="s">
        <v>478</v>
      </c>
      <c r="K14" s="25">
        <f>+K15+K17</f>
        <v>143888891</v>
      </c>
      <c r="M14" s="25">
        <f>+M15+M17</f>
        <v>138160834</v>
      </c>
      <c r="O14" s="25">
        <f>+O15+O17</f>
        <v>161918480</v>
      </c>
      <c r="Q14" s="6"/>
    </row>
    <row r="15" spans="3:20">
      <c r="C15" s="6" t="s">
        <v>479</v>
      </c>
      <c r="D15" s="7">
        <v>52613773</v>
      </c>
      <c r="F15" s="7">
        <v>41315142</v>
      </c>
      <c r="H15" s="7">
        <v>53989618</v>
      </c>
      <c r="J15" s="9" t="s">
        <v>480</v>
      </c>
      <c r="K15" s="10"/>
      <c r="M15" s="10">
        <f>M16</f>
        <v>246956</v>
      </c>
      <c r="O15" s="10">
        <f>+O16</f>
        <v>722106</v>
      </c>
      <c r="Q15" s="6"/>
    </row>
    <row r="16" spans="3:20">
      <c r="J16" s="6" t="s">
        <v>482</v>
      </c>
      <c r="K16" s="7"/>
      <c r="M16" s="7">
        <v>246956</v>
      </c>
      <c r="O16" s="7">
        <v>722106</v>
      </c>
      <c r="Q16" s="6"/>
    </row>
    <row r="17" spans="2:20">
      <c r="J17" s="9" t="s">
        <v>484</v>
      </c>
      <c r="K17" s="10">
        <f>+K18+K19</f>
        <v>143888891</v>
      </c>
      <c r="M17" s="10">
        <f>+M18+M19</f>
        <v>137913878</v>
      </c>
      <c r="O17" s="10">
        <f>+O18+O19</f>
        <v>161196374</v>
      </c>
      <c r="Q17" s="6"/>
    </row>
    <row r="18" spans="2:20">
      <c r="F18" s="29"/>
      <c r="H18" s="29"/>
      <c r="J18" s="6" t="s">
        <v>485</v>
      </c>
      <c r="K18" s="7">
        <v>6833501</v>
      </c>
      <c r="M18" s="7">
        <v>8114167</v>
      </c>
      <c r="O18" s="7">
        <v>5014592</v>
      </c>
      <c r="Q18" s="6"/>
    </row>
    <row r="19" spans="2:20">
      <c r="J19" s="6" t="s">
        <v>486</v>
      </c>
      <c r="K19" s="7">
        <v>137055390</v>
      </c>
      <c r="M19" s="1">
        <v>129799711</v>
      </c>
      <c r="O19" s="1">
        <v>156181782</v>
      </c>
      <c r="Q19" s="6"/>
    </row>
    <row r="20" spans="2:20" ht="12.75" thickBot="1">
      <c r="Q20" s="6"/>
    </row>
    <row r="21" spans="2:20" ht="13.5" thickTop="1" thickBot="1">
      <c r="C21" s="25" t="s">
        <v>487</v>
      </c>
      <c r="D21" s="255">
        <f>+D11+D5</f>
        <v>152724133</v>
      </c>
      <c r="F21" s="256">
        <f>+F11+F5</f>
        <v>139095904</v>
      </c>
      <c r="H21" s="255">
        <f>+H11+H5</f>
        <v>157951682</v>
      </c>
      <c r="J21" s="8" t="s">
        <v>488</v>
      </c>
      <c r="K21" s="256">
        <f>+K14+K10+K5</f>
        <v>152724133</v>
      </c>
      <c r="M21" s="255">
        <f>+M14+M10+M5</f>
        <v>139095904</v>
      </c>
      <c r="O21" s="255">
        <f>+O14+O10+O5</f>
        <v>157951682</v>
      </c>
      <c r="Q21" s="6"/>
    </row>
    <row r="22" spans="2:20" ht="12.75" thickTop="1">
      <c r="Q22" s="6"/>
    </row>
    <row r="23" spans="2:20">
      <c r="Q23" s="6"/>
    </row>
    <row r="24" spans="2:20">
      <c r="Q24" s="6"/>
    </row>
    <row r="25" spans="2:20">
      <c r="B25" s="6" t="s">
        <v>489</v>
      </c>
      <c r="Q25" s="6"/>
    </row>
    <row r="26" spans="2:20">
      <c r="B26" s="6" t="s">
        <v>490</v>
      </c>
    </row>
    <row r="27" spans="2:20">
      <c r="B27" s="6" t="s">
        <v>634</v>
      </c>
      <c r="Q27" s="8" t="s">
        <v>492</v>
      </c>
    </row>
    <row r="29" spans="2:20">
      <c r="F29" s="7" t="s">
        <v>452</v>
      </c>
      <c r="H29" s="7" t="s">
        <v>453</v>
      </c>
      <c r="J29" s="7" t="s">
        <v>583</v>
      </c>
      <c r="R29" s="7" t="s">
        <v>583</v>
      </c>
      <c r="S29" s="7" t="s">
        <v>453</v>
      </c>
      <c r="T29" s="7" t="str">
        <f>+T4</f>
        <v>año 2015</v>
      </c>
    </row>
    <row r="30" spans="2:20">
      <c r="B30" s="6" t="s">
        <v>493</v>
      </c>
      <c r="F30" s="7">
        <v>166475305</v>
      </c>
      <c r="H30" s="7">
        <v>155526796</v>
      </c>
      <c r="J30" s="7">
        <v>157741126</v>
      </c>
      <c r="Q30" s="7" t="s">
        <v>494</v>
      </c>
      <c r="R30" s="7">
        <f>+H11/O14</f>
        <v>0.52817866126213631</v>
      </c>
      <c r="S30" s="7">
        <f>+F11/M14</f>
        <v>0.5114511758086232</v>
      </c>
      <c r="T30" s="7">
        <f>+(D11/K14)</f>
        <v>0.54130618047504442</v>
      </c>
    </row>
    <row r="31" spans="2:20">
      <c r="B31" s="6"/>
      <c r="F31" s="7"/>
      <c r="H31" s="7"/>
      <c r="J31" s="7"/>
      <c r="Q31" s="7" t="s">
        <v>495</v>
      </c>
      <c r="R31" s="7">
        <f>+(H11-H12)/O14</f>
        <v>0.523851613478585</v>
      </c>
      <c r="S31" s="7">
        <f>+(F11-F12)/M14</f>
        <v>0.50667699356823515</v>
      </c>
      <c r="T31" s="7">
        <f>+(D11-D12)/K14</f>
        <v>0.53760450485367905</v>
      </c>
    </row>
    <row r="32" spans="2:20">
      <c r="B32" s="6"/>
      <c r="F32" s="7"/>
      <c r="H32" s="7"/>
      <c r="J32" s="7"/>
      <c r="Q32" s="7" t="s">
        <v>496</v>
      </c>
      <c r="R32" s="7">
        <f>+H15/O14</f>
        <v>0.33343703572316141</v>
      </c>
      <c r="S32" s="7">
        <f>+F15/M14</f>
        <v>0.29903657066806649</v>
      </c>
      <c r="T32" s="7">
        <f>+D15/K14</f>
        <v>0.36565555988613463</v>
      </c>
    </row>
    <row r="33" spans="2:20">
      <c r="B33" s="6"/>
      <c r="F33" s="7"/>
      <c r="H33" s="7"/>
      <c r="J33" s="7"/>
      <c r="Q33" s="7"/>
      <c r="R33" s="7"/>
      <c r="S33" s="7"/>
      <c r="T33" s="7"/>
    </row>
    <row r="34" spans="2:20">
      <c r="Q34" s="6"/>
    </row>
    <row r="35" spans="2:20">
      <c r="B35" s="9" t="s">
        <v>498</v>
      </c>
      <c r="F35" s="10">
        <v>21452294</v>
      </c>
      <c r="H35" s="9">
        <v>15135929</v>
      </c>
      <c r="J35" s="10">
        <v>12398661</v>
      </c>
      <c r="Q35" s="6"/>
    </row>
    <row r="36" spans="2:20">
      <c r="B36" s="9"/>
      <c r="F36" s="10"/>
      <c r="H36" s="9"/>
      <c r="J36" s="10"/>
    </row>
    <row r="37" spans="2:20">
      <c r="B37" s="9" t="s">
        <v>503</v>
      </c>
      <c r="F37" s="7">
        <f>+(F35-F38)*-1</f>
        <v>-17344903</v>
      </c>
      <c r="H37" s="7">
        <f>+(H35-H38)*-1</f>
        <v>-16711324</v>
      </c>
      <c r="J37" s="7">
        <f>+(J35-J38)*-1</f>
        <v>-18963736</v>
      </c>
      <c r="Q37" s="6"/>
    </row>
    <row r="38" spans="2:20">
      <c r="B38" s="9" t="s">
        <v>505</v>
      </c>
      <c r="F38" s="10">
        <v>4107391</v>
      </c>
      <c r="H38" s="9">
        <v>-1575395</v>
      </c>
      <c r="J38" s="10">
        <v>-6565075</v>
      </c>
      <c r="Q38" s="6"/>
    </row>
    <row r="40" spans="2:20">
      <c r="Q40" s="8" t="s">
        <v>512</v>
      </c>
      <c r="R40" s="7" t="s">
        <v>583</v>
      </c>
      <c r="S40" s="7" t="s">
        <v>453</v>
      </c>
      <c r="T40" s="7" t="str">
        <f>+T29</f>
        <v>año 2015</v>
      </c>
    </row>
    <row r="41" spans="2:20">
      <c r="B41" s="6" t="s">
        <v>508</v>
      </c>
      <c r="F41" s="7">
        <v>128245</v>
      </c>
      <c r="H41" s="7">
        <v>128021</v>
      </c>
      <c r="J41" s="7">
        <v>34136</v>
      </c>
      <c r="Q41" s="6" t="s">
        <v>514</v>
      </c>
      <c r="R41" s="7">
        <f>+(O10+O14)/O5</f>
        <v>-9.1928979249962843</v>
      </c>
      <c r="S41" s="7">
        <f>+(M10+M14)/M5</f>
        <v>-12.071309611325892</v>
      </c>
      <c r="T41" s="10">
        <f>+(K10+K14)/K5</f>
        <v>-34.479821784839217</v>
      </c>
    </row>
    <row r="42" spans="2:20">
      <c r="B42" s="6" t="s">
        <v>510</v>
      </c>
      <c r="F42" s="7">
        <v>-8867438</v>
      </c>
      <c r="H42" s="7">
        <v>-11533347</v>
      </c>
      <c r="J42" s="7">
        <v>-12842946</v>
      </c>
      <c r="Q42" s="6" t="s">
        <v>515</v>
      </c>
      <c r="R42" s="7">
        <f>+(O11+O16)/O5</f>
        <v>-4.0975620332445013E-2</v>
      </c>
      <c r="S42" s="7">
        <f>+(M10+M16)/M6</f>
        <v>-1.0940831141558065</v>
      </c>
      <c r="T42" s="10">
        <f>+(K10+K15)/K5</f>
        <v>-2.9368407714969735</v>
      </c>
    </row>
    <row r="43" spans="2:20">
      <c r="Q43" s="6" t="s">
        <v>517</v>
      </c>
      <c r="R43" s="7">
        <f>+O5/(O10+O5)</f>
        <v>4.8601158919612244</v>
      </c>
      <c r="S43" s="7">
        <f>+M5/(M10+M5)</f>
        <v>-13.436037943683361</v>
      </c>
      <c r="T43" s="7">
        <f>+(K6/(K6+K10))</f>
        <v>-0.51630470336862311</v>
      </c>
    </row>
    <row r="44" spans="2:20">
      <c r="Q44" s="9" t="s">
        <v>518</v>
      </c>
      <c r="R44" s="7">
        <f>+(1-J54)*-J42/(O11+O16)</f>
        <v>16.30336718003781</v>
      </c>
      <c r="S44" s="257">
        <f>+(1-H54)*H42*-1/(M10+M16)</f>
        <v>0.8633544089216173</v>
      </c>
      <c r="T44" s="42">
        <f>+(1-F54)*F42*-1/(K10+K15)</f>
        <v>0.66842627186023629</v>
      </c>
    </row>
    <row r="45" spans="2:20">
      <c r="B45" s="9" t="s">
        <v>513</v>
      </c>
      <c r="F45" s="10">
        <f>+F41+F42</f>
        <v>-8739193</v>
      </c>
      <c r="H45" s="10">
        <f>+H41+H42</f>
        <v>-11405326</v>
      </c>
      <c r="J45" s="10">
        <f>+J41+J42</f>
        <v>-12808810</v>
      </c>
    </row>
    <row r="46" spans="2:20">
      <c r="Q46" s="6"/>
    </row>
    <row r="47" spans="2:20">
      <c r="B47" s="9" t="s">
        <v>516</v>
      </c>
      <c r="F47" s="10">
        <f>+F45+F38</f>
        <v>-4631802</v>
      </c>
      <c r="H47" s="9">
        <f>+H45+H38</f>
        <v>-12980721</v>
      </c>
      <c r="J47" s="10">
        <f>+J45+J38</f>
        <v>-19373885</v>
      </c>
      <c r="Q47" s="6"/>
    </row>
    <row r="48" spans="2:20">
      <c r="Q48" s="6"/>
    </row>
    <row r="49" spans="2:20">
      <c r="B49" s="6" t="s">
        <v>519</v>
      </c>
      <c r="F49" s="7">
        <v>-45660</v>
      </c>
      <c r="H49" s="7">
        <v>-375950</v>
      </c>
      <c r="J49" s="7">
        <v>-54720</v>
      </c>
      <c r="Q49" s="6"/>
    </row>
    <row r="50" spans="2:20">
      <c r="Q50" s="6"/>
    </row>
    <row r="51" spans="2:20">
      <c r="B51" s="9" t="s">
        <v>524</v>
      </c>
      <c r="F51" s="10">
        <f>+F47+F49</f>
        <v>-4677462</v>
      </c>
      <c r="H51" s="9">
        <f>+H47+H49</f>
        <v>-13356671</v>
      </c>
      <c r="J51" s="10">
        <f>+J47+J49</f>
        <v>-19428605</v>
      </c>
      <c r="Q51" s="6"/>
    </row>
    <row r="52" spans="2:20">
      <c r="Q52" s="3"/>
    </row>
    <row r="53" spans="2:20">
      <c r="Q53" s="6"/>
    </row>
    <row r="54" spans="2:20">
      <c r="B54" s="6" t="s">
        <v>528</v>
      </c>
      <c r="F54" s="7">
        <f>-F49/F47</f>
        <v>-9.8579343417529511E-3</v>
      </c>
      <c r="H54" s="7">
        <f>-H49/H47</f>
        <v>-2.8962181684669134E-2</v>
      </c>
      <c r="J54" s="7">
        <f>-J49/J47</f>
        <v>-2.8244206053664508E-3</v>
      </c>
      <c r="Q54" s="3"/>
    </row>
    <row r="55" spans="2:20">
      <c r="B55" s="6"/>
      <c r="F55" s="7"/>
      <c r="H55" s="7"/>
      <c r="J55" s="7"/>
      <c r="Q55" s="6"/>
    </row>
    <row r="56" spans="2:20">
      <c r="B56" s="6"/>
      <c r="F56" s="7"/>
      <c r="H56" s="7"/>
      <c r="J56" s="7"/>
    </row>
    <row r="57" spans="2:20">
      <c r="Q57" s="3"/>
    </row>
    <row r="58" spans="2:20">
      <c r="B58" s="6" t="s">
        <v>604</v>
      </c>
      <c r="Q58" s="6"/>
    </row>
    <row r="59" spans="2:20">
      <c r="F59" s="7" t="s">
        <v>452</v>
      </c>
      <c r="H59" s="7" t="s">
        <v>453</v>
      </c>
      <c r="J59" s="7" t="s">
        <v>583</v>
      </c>
      <c r="Q59" s="6"/>
    </row>
    <row r="60" spans="2:20">
      <c r="B60" s="9" t="s">
        <v>532</v>
      </c>
    </row>
    <row r="61" spans="2:20">
      <c r="B61" s="6" t="s">
        <v>533</v>
      </c>
      <c r="F61" s="7">
        <f>+F38/F30</f>
        <v>2.4672674424594088E-2</v>
      </c>
      <c r="H61" s="7">
        <f>+H38/H30</f>
        <v>-1.0129412040353484E-2</v>
      </c>
      <c r="J61" s="7">
        <f>+J38/J30</f>
        <v>-4.1619298444718851E-2</v>
      </c>
      <c r="Q61" s="8" t="s">
        <v>605</v>
      </c>
    </row>
    <row r="62" spans="2:20">
      <c r="B62" s="6" t="s">
        <v>534</v>
      </c>
      <c r="F62" s="7">
        <f>+F30/D21</f>
        <v>1.0900392867183604</v>
      </c>
      <c r="H62" s="7">
        <f>+H30/F21</f>
        <v>1.1181263540298068</v>
      </c>
      <c r="J62" s="7">
        <f>+J30/H21</f>
        <v>0.99866695943130257</v>
      </c>
      <c r="R62" s="7" t="s">
        <v>583</v>
      </c>
      <c r="S62" s="7" t="s">
        <v>453</v>
      </c>
      <c r="T62" s="7" t="str">
        <f>+T4</f>
        <v>año 2015</v>
      </c>
    </row>
    <row r="63" spans="2:20">
      <c r="Q63" s="6" t="s">
        <v>535</v>
      </c>
      <c r="R63" s="7">
        <f>+D14</f>
        <v>24741543</v>
      </c>
      <c r="S63" s="7">
        <f>+F14</f>
        <v>28687774</v>
      </c>
      <c r="T63" s="7">
        <f>+D14</f>
        <v>24741543</v>
      </c>
    </row>
    <row r="64" spans="2:20">
      <c r="B64" s="9" t="s">
        <v>536</v>
      </c>
      <c r="F64" s="7">
        <f>+F38/D21</f>
        <v>2.6894184431218871E-2</v>
      </c>
      <c r="H64" s="7">
        <f>+H38/F21</f>
        <v>-1.1325962553146066E-2</v>
      </c>
      <c r="J64" s="7">
        <f>+J38/H21</f>
        <v>-4.1563818231451312E-2</v>
      </c>
      <c r="Q64" s="6" t="s">
        <v>537</v>
      </c>
      <c r="R64" s="7">
        <f>+D12</f>
        <v>532630</v>
      </c>
      <c r="S64" s="7">
        <f>+F12</f>
        <v>659605</v>
      </c>
      <c r="T64" s="7">
        <f>+D12</f>
        <v>532630</v>
      </c>
    </row>
    <row r="65" spans="2:20">
      <c r="B65" s="6" t="s">
        <v>538</v>
      </c>
      <c r="Q65" s="9" t="s">
        <v>539</v>
      </c>
      <c r="R65" s="10">
        <f>+R63+R64</f>
        <v>25274173</v>
      </c>
      <c r="S65" s="10">
        <f>+S63+S64</f>
        <v>29347379</v>
      </c>
      <c r="T65" s="10">
        <f>+T63+T64</f>
        <v>25274173</v>
      </c>
    </row>
    <row r="66" spans="2:20">
      <c r="B66" s="6" t="s">
        <v>540</v>
      </c>
      <c r="Q66" s="6" t="s">
        <v>485</v>
      </c>
      <c r="R66" s="7">
        <f>+O17</f>
        <v>161196374</v>
      </c>
      <c r="S66" s="7">
        <f>+M17</f>
        <v>137913878</v>
      </c>
      <c r="T66" s="7">
        <f>+K17</f>
        <v>143888891</v>
      </c>
    </row>
    <row r="67" spans="2:20">
      <c r="Q67" s="9" t="s">
        <v>541</v>
      </c>
      <c r="R67" s="10">
        <f>+R66</f>
        <v>161196374</v>
      </c>
      <c r="S67" s="10">
        <f>+S66</f>
        <v>137913878</v>
      </c>
      <c r="T67" s="10">
        <f>+T66</f>
        <v>143888891</v>
      </c>
    </row>
    <row r="68" spans="2:20">
      <c r="B68" s="3" t="s">
        <v>649</v>
      </c>
    </row>
    <row r="69" spans="2:20">
      <c r="B69" s="6" t="s">
        <v>675</v>
      </c>
      <c r="Q69" s="9" t="s">
        <v>544</v>
      </c>
      <c r="R69" s="7">
        <f>+R65-R67</f>
        <v>-135922201</v>
      </c>
      <c r="S69" s="7">
        <f>+S65-S67</f>
        <v>-108566499</v>
      </c>
      <c r="T69" s="7">
        <f>+T65-T67</f>
        <v>-118614718</v>
      </c>
    </row>
    <row r="70" spans="2:20">
      <c r="B70" s="6"/>
    </row>
    <row r="71" spans="2:20">
      <c r="B71" s="6"/>
      <c r="Q71" s="6" t="s">
        <v>612</v>
      </c>
    </row>
    <row r="72" spans="2:20">
      <c r="F72" s="7" t="s">
        <v>452</v>
      </c>
      <c r="H72" s="7" t="s">
        <v>453</v>
      </c>
      <c r="J72" s="7" t="s">
        <v>583</v>
      </c>
      <c r="Q72" s="6" t="s">
        <v>613</v>
      </c>
    </row>
    <row r="73" spans="2:20">
      <c r="B73" s="8" t="s">
        <v>610</v>
      </c>
      <c r="F73" s="7">
        <f>+F51/K5</f>
        <v>1.0253821127624776</v>
      </c>
      <c r="H73" s="7">
        <f>+H51/M5</f>
        <v>1.0631214562408526</v>
      </c>
      <c r="J73" s="7">
        <f>+J51/O5</f>
        <v>1.0077548752540186</v>
      </c>
      <c r="Q73" s="6" t="s">
        <v>614</v>
      </c>
    </row>
    <row r="74" spans="2:20">
      <c r="B74" s="3"/>
      <c r="Q74" s="6" t="s">
        <v>673</v>
      </c>
    </row>
    <row r="75" spans="2:20">
      <c r="B75" s="6"/>
      <c r="Q75" s="6"/>
    </row>
    <row r="76" spans="2:20">
      <c r="B76" s="3"/>
      <c r="Q76" s="6"/>
    </row>
    <row r="77" spans="2:20">
      <c r="B77" s="6"/>
      <c r="Q77" s="6"/>
    </row>
    <row r="78" spans="2:20">
      <c r="B78" s="6"/>
    </row>
    <row r="79" spans="2:20">
      <c r="B79" s="6"/>
    </row>
    <row r="80" spans="2:20">
      <c r="B80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91" spans="2:2">
      <c r="B91" s="9"/>
    </row>
    <row r="93" spans="2:2">
      <c r="B93" s="9"/>
    </row>
    <row r="95" spans="2:2">
      <c r="B95" s="9"/>
    </row>
    <row r="96" spans="2:2">
      <c r="B96" s="6"/>
    </row>
    <row r="97" spans="2:11">
      <c r="B97" s="9"/>
      <c r="F97" s="9"/>
      <c r="G97" s="1"/>
      <c r="J97" s="9"/>
    </row>
    <row r="98" spans="2:11">
      <c r="C98" s="7"/>
      <c r="G98" s="7"/>
      <c r="K98" s="7"/>
    </row>
    <row r="99" spans="2:11">
      <c r="B99" s="6"/>
      <c r="C99" s="7"/>
      <c r="F99" s="9"/>
      <c r="G99" s="7"/>
      <c r="J99" s="9"/>
      <c r="K99" s="7"/>
    </row>
    <row r="100" spans="2:11">
      <c r="C100" s="7"/>
      <c r="F100" s="6"/>
      <c r="G100" s="7"/>
      <c r="J100" s="6"/>
      <c r="K100" s="7"/>
    </row>
    <row r="101" spans="2:11">
      <c r="B101" s="9"/>
      <c r="C101" s="7"/>
      <c r="F101" s="9"/>
      <c r="G101" s="7"/>
      <c r="J101" s="9"/>
      <c r="K101" s="7"/>
    </row>
    <row r="102" spans="2:11">
      <c r="B102" s="9"/>
      <c r="C102" s="7"/>
      <c r="G102" s="7"/>
      <c r="K102" s="7"/>
    </row>
    <row r="103" spans="2:11">
      <c r="B103" s="6"/>
      <c r="C103" s="7"/>
      <c r="F103" s="6"/>
      <c r="G103" s="7"/>
      <c r="J103" s="6"/>
      <c r="K103" s="7"/>
    </row>
    <row r="104" spans="2:11">
      <c r="G104" s="1"/>
    </row>
    <row r="105" spans="2:11">
      <c r="C105" s="7"/>
      <c r="F105" s="9"/>
      <c r="G105" s="7"/>
      <c r="J105" s="9"/>
      <c r="K105" s="7"/>
    </row>
    <row r="106" spans="2:11">
      <c r="C106" s="7"/>
      <c r="F106" s="9"/>
      <c r="G106" s="7"/>
      <c r="J106" s="9"/>
      <c r="K106" s="7"/>
    </row>
    <row r="107" spans="2:11">
      <c r="B107" s="3"/>
      <c r="C107" s="7"/>
      <c r="F107" s="6"/>
      <c r="G107" s="7"/>
      <c r="J107" s="6"/>
      <c r="K107" s="7"/>
    </row>
    <row r="108" spans="2:11">
      <c r="B108" s="6"/>
      <c r="C108" s="10"/>
      <c r="D108" s="3"/>
      <c r="G108" s="10"/>
      <c r="K108" s="10"/>
    </row>
    <row r="109" spans="2:11">
      <c r="B109" s="6"/>
      <c r="D109" s="6"/>
    </row>
    <row r="111" spans="2:11">
      <c r="B111" s="9"/>
    </row>
    <row r="112" spans="2:11">
      <c r="B112" s="9"/>
    </row>
    <row r="113" spans="2:2">
      <c r="B113" s="9"/>
    </row>
  </sheetData>
  <mergeCells count="1">
    <mergeCell ref="D3:O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113"/>
  <sheetViews>
    <sheetView workbookViewId="0">
      <selection activeCell="H107" sqref="H107"/>
    </sheetView>
  </sheetViews>
  <sheetFormatPr baseColWidth="10" defaultRowHeight="12"/>
  <cols>
    <col min="1" max="1" width="2.140625" style="1" customWidth="1"/>
    <col min="2" max="2" width="13.7109375" style="1" customWidth="1"/>
    <col min="3" max="3" width="19.7109375" style="1" bestFit="1" customWidth="1"/>
    <col min="4" max="4" width="12.28515625" style="1" bestFit="1" customWidth="1"/>
    <col min="5" max="5" width="2.28515625" style="29" customWidth="1"/>
    <col min="6" max="6" width="16.28515625" style="1" customWidth="1"/>
    <col min="7" max="7" width="6.42578125" style="29" customWidth="1"/>
    <col min="8" max="8" width="11.42578125" style="1"/>
    <col min="9" max="9" width="3.42578125" style="1" customWidth="1"/>
    <col min="10" max="10" width="27.28515625" style="1" bestFit="1" customWidth="1"/>
    <col min="11" max="11" width="15" style="1" customWidth="1"/>
    <col min="12" max="12" width="2.28515625" style="29" customWidth="1"/>
    <col min="13" max="13" width="11.42578125" style="1"/>
    <col min="14" max="14" width="2.28515625" style="29" customWidth="1"/>
    <col min="15" max="15" width="11.42578125" style="1"/>
    <col min="16" max="16" width="2.140625" style="1" customWidth="1"/>
    <col min="17" max="17" width="29.140625" style="1" customWidth="1"/>
    <col min="18" max="18" width="14" style="1" customWidth="1"/>
    <col min="19" max="16384" width="11.42578125" style="1"/>
  </cols>
  <sheetData>
    <row r="3" spans="3:20">
      <c r="D3" s="269" t="s">
        <v>677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453</v>
      </c>
      <c r="G4" s="30"/>
      <c r="H4" s="7" t="s">
        <v>583</v>
      </c>
      <c r="J4" s="8" t="s">
        <v>454</v>
      </c>
      <c r="K4" s="7" t="s">
        <v>452</v>
      </c>
      <c r="L4" s="30"/>
      <c r="M4" s="7" t="s">
        <v>453</v>
      </c>
      <c r="N4" s="30"/>
      <c r="O4" s="7" t="s">
        <v>583</v>
      </c>
      <c r="Q4" s="7" t="s">
        <v>620</v>
      </c>
      <c r="R4" s="7" t="str">
        <f>+O4</f>
        <v>año 2013</v>
      </c>
      <c r="S4" s="7" t="str">
        <f>+M4</f>
        <v>año 2014</v>
      </c>
      <c r="T4" s="7" t="str">
        <f>+K4</f>
        <v>año 2015</v>
      </c>
    </row>
    <row r="5" spans="3:20">
      <c r="C5" s="8" t="s">
        <v>455</v>
      </c>
      <c r="D5" s="10">
        <f>+SUM(D6:D8)</f>
        <v>129772</v>
      </c>
      <c r="F5" s="10">
        <f>+SUM(F6:F8)</f>
        <v>115741</v>
      </c>
      <c r="H5" s="9">
        <f>+SUM(H6:H8)</f>
        <v>100941</v>
      </c>
      <c r="J5" s="8" t="s">
        <v>456</v>
      </c>
      <c r="K5" s="25">
        <f>+K6</f>
        <v>21920</v>
      </c>
      <c r="M5" s="25">
        <f>+M6</f>
        <v>6790</v>
      </c>
      <c r="O5" s="25">
        <f>+O6</f>
        <v>3607</v>
      </c>
      <c r="Q5" s="9" t="s">
        <v>457</v>
      </c>
      <c r="R5" s="6">
        <f>+O5+O10-H5</f>
        <v>48070</v>
      </c>
      <c r="S5" s="6">
        <f>+M6+M10-F5</f>
        <v>49128</v>
      </c>
      <c r="T5" s="7">
        <f>+K5+K10-D5</f>
        <v>46657</v>
      </c>
    </row>
    <row r="6" spans="3:20">
      <c r="C6" s="6" t="s">
        <v>458</v>
      </c>
      <c r="D6" s="7" t="s">
        <v>670</v>
      </c>
      <c r="F6" s="7" t="s">
        <v>670</v>
      </c>
      <c r="H6" s="7" t="s">
        <v>670</v>
      </c>
      <c r="J6" s="9" t="s">
        <v>459</v>
      </c>
      <c r="K6" s="10">
        <v>21920</v>
      </c>
      <c r="M6" s="10">
        <f>+M7+M8</f>
        <v>6790</v>
      </c>
      <c r="O6" s="10">
        <f>+O7+O8</f>
        <v>3607</v>
      </c>
      <c r="Q6" s="3"/>
    </row>
    <row r="7" spans="3:20">
      <c r="C7" s="6" t="s">
        <v>461</v>
      </c>
      <c r="D7" s="7">
        <v>129772</v>
      </c>
      <c r="F7" s="7">
        <v>115741</v>
      </c>
      <c r="H7" s="6">
        <v>100941</v>
      </c>
      <c r="J7" s="6" t="s">
        <v>462</v>
      </c>
      <c r="K7" s="7">
        <v>7557</v>
      </c>
      <c r="M7" s="7">
        <v>7557</v>
      </c>
      <c r="O7" s="7">
        <v>7557</v>
      </c>
      <c r="Q7" s="6" t="s">
        <v>671</v>
      </c>
    </row>
    <row r="8" spans="3:20">
      <c r="C8" s="6" t="s">
        <v>464</v>
      </c>
      <c r="D8" s="7" t="s">
        <v>670</v>
      </c>
      <c r="F8" s="7" t="s">
        <v>670</v>
      </c>
      <c r="H8" s="7" t="s">
        <v>670</v>
      </c>
      <c r="J8" s="6" t="s">
        <v>465</v>
      </c>
      <c r="K8" s="7">
        <v>14363</v>
      </c>
      <c r="M8" s="7">
        <v>-767</v>
      </c>
      <c r="O8" s="7">
        <v>-3950</v>
      </c>
      <c r="Q8" s="6" t="s">
        <v>625</v>
      </c>
    </row>
    <row r="9" spans="3:20">
      <c r="M9" s="23"/>
      <c r="Q9" s="6" t="s">
        <v>626</v>
      </c>
    </row>
    <row r="10" spans="3:20">
      <c r="J10" s="8" t="s">
        <v>468</v>
      </c>
      <c r="K10" s="25">
        <f>+K11+K12</f>
        <v>154509</v>
      </c>
      <c r="M10" s="25">
        <f>+M11+M12</f>
        <v>158079</v>
      </c>
      <c r="O10" s="25">
        <f>+O11+O12</f>
        <v>145404</v>
      </c>
      <c r="Q10" s="6" t="s">
        <v>627</v>
      </c>
    </row>
    <row r="11" spans="3:20">
      <c r="C11" s="8" t="s">
        <v>469</v>
      </c>
      <c r="D11" s="10">
        <f>+SUM(D12:D15)</f>
        <v>81813</v>
      </c>
      <c r="F11" s="10">
        <f>+SUM(F12:F15)</f>
        <v>77790</v>
      </c>
      <c r="H11" s="10">
        <f>+SUM(H12:H15)</f>
        <v>79871</v>
      </c>
      <c r="J11" s="6" t="s">
        <v>470</v>
      </c>
      <c r="K11" s="7">
        <v>154508</v>
      </c>
      <c r="M11" s="7">
        <v>158079</v>
      </c>
      <c r="O11" s="7">
        <v>145404</v>
      </c>
      <c r="Q11" s="6" t="s">
        <v>628</v>
      </c>
    </row>
    <row r="12" spans="3:20">
      <c r="C12" s="6" t="s">
        <v>472</v>
      </c>
      <c r="D12" s="7">
        <v>652</v>
      </c>
      <c r="F12" s="7">
        <v>738</v>
      </c>
      <c r="H12" s="7">
        <v>701</v>
      </c>
      <c r="J12" s="6" t="s">
        <v>473</v>
      </c>
      <c r="K12" s="7">
        <v>1</v>
      </c>
      <c r="M12" s="7">
        <v>0</v>
      </c>
      <c r="O12" s="7">
        <v>0</v>
      </c>
      <c r="Q12" s="6" t="s">
        <v>629</v>
      </c>
    </row>
    <row r="13" spans="3:20">
      <c r="C13" s="6" t="s">
        <v>475</v>
      </c>
      <c r="D13" s="7"/>
      <c r="M13" s="23"/>
      <c r="Q13" s="6" t="s">
        <v>630</v>
      </c>
    </row>
    <row r="14" spans="3:20">
      <c r="C14" s="6" t="s">
        <v>477</v>
      </c>
      <c r="D14" s="7">
        <v>75271</v>
      </c>
      <c r="F14" s="7">
        <v>71884</v>
      </c>
      <c r="H14" s="7">
        <v>75849</v>
      </c>
      <c r="J14" s="8" t="s">
        <v>478</v>
      </c>
      <c r="K14" s="25">
        <f>+K15+K17</f>
        <v>35156</v>
      </c>
      <c r="M14" s="25">
        <f>+M15+M17</f>
        <v>28662</v>
      </c>
      <c r="O14" s="25">
        <f>+O15+O17</f>
        <v>31801</v>
      </c>
      <c r="Q14" s="6"/>
    </row>
    <row r="15" spans="3:20">
      <c r="C15" s="6" t="s">
        <v>479</v>
      </c>
      <c r="D15" s="7">
        <v>5890</v>
      </c>
      <c r="F15" s="7">
        <v>5168</v>
      </c>
      <c r="H15" s="7">
        <v>3321</v>
      </c>
      <c r="J15" s="9" t="s">
        <v>480</v>
      </c>
      <c r="K15" s="10">
        <v>107</v>
      </c>
      <c r="M15" s="10">
        <v>84</v>
      </c>
      <c r="O15" s="10">
        <v>90</v>
      </c>
      <c r="Q15" s="6"/>
    </row>
    <row r="16" spans="3:20">
      <c r="J16" s="6" t="s">
        <v>482</v>
      </c>
      <c r="K16" s="7">
        <v>107</v>
      </c>
      <c r="M16" s="7">
        <v>84</v>
      </c>
      <c r="O16" s="7">
        <v>90</v>
      </c>
      <c r="Q16" s="6"/>
    </row>
    <row r="17" spans="2:20">
      <c r="J17" s="9" t="s">
        <v>484</v>
      </c>
      <c r="K17" s="10">
        <f>+K18+K19</f>
        <v>35049</v>
      </c>
      <c r="M17" s="10">
        <f>+M18+M19</f>
        <v>28578</v>
      </c>
      <c r="O17" s="10">
        <f>+O18+O19</f>
        <v>31711</v>
      </c>
      <c r="Q17" s="6"/>
    </row>
    <row r="18" spans="2:20">
      <c r="F18" s="29"/>
      <c r="H18" s="29"/>
      <c r="J18" s="6" t="s">
        <v>485</v>
      </c>
      <c r="K18" s="7"/>
      <c r="M18" s="7"/>
      <c r="O18" s="7"/>
      <c r="Q18" s="6"/>
    </row>
    <row r="19" spans="2:20">
      <c r="J19" s="6" t="s">
        <v>486</v>
      </c>
      <c r="K19" s="7">
        <v>35049</v>
      </c>
      <c r="M19" s="23">
        <v>28578</v>
      </c>
      <c r="O19" s="1">
        <v>31711</v>
      </c>
      <c r="Q19" s="6"/>
    </row>
    <row r="20" spans="2:20" ht="12.75" thickBot="1">
      <c r="Q20" s="6"/>
    </row>
    <row r="21" spans="2:20" ht="13.5" thickTop="1" thickBot="1">
      <c r="C21" s="25" t="s">
        <v>487</v>
      </c>
      <c r="D21" s="255">
        <f>+D11+D5</f>
        <v>211585</v>
      </c>
      <c r="F21" s="256">
        <f>+F11+F5</f>
        <v>193531</v>
      </c>
      <c r="H21" s="256">
        <f>+H11+H5</f>
        <v>180812</v>
      </c>
      <c r="J21" s="8" t="s">
        <v>488</v>
      </c>
      <c r="K21" s="256">
        <f>+K14+K10+K5</f>
        <v>211585</v>
      </c>
      <c r="M21" s="256">
        <f>+M14+M10+M5</f>
        <v>193531</v>
      </c>
      <c r="O21" s="256">
        <f>+O14+O10+O5</f>
        <v>180812</v>
      </c>
      <c r="Q21" s="6"/>
    </row>
    <row r="22" spans="2:20" ht="12.75" thickTop="1">
      <c r="Q22" s="6"/>
    </row>
    <row r="23" spans="2:20">
      <c r="Q23" s="6"/>
    </row>
    <row r="24" spans="2:20">
      <c r="Q24" s="6"/>
    </row>
    <row r="25" spans="2:20">
      <c r="B25" s="6" t="s">
        <v>489</v>
      </c>
      <c r="Q25" s="6"/>
    </row>
    <row r="26" spans="2:20">
      <c r="B26" s="6" t="s">
        <v>490</v>
      </c>
    </row>
    <row r="27" spans="2:20">
      <c r="B27" s="6" t="s">
        <v>634</v>
      </c>
      <c r="Q27" s="8" t="s">
        <v>492</v>
      </c>
    </row>
    <row r="29" spans="2:20">
      <c r="F29" s="7" t="s">
        <v>452</v>
      </c>
      <c r="H29" s="7" t="s">
        <v>453</v>
      </c>
      <c r="J29" s="7" t="s">
        <v>583</v>
      </c>
      <c r="R29" s="7" t="s">
        <v>583</v>
      </c>
      <c r="S29" s="7" t="s">
        <v>453</v>
      </c>
      <c r="T29" s="7" t="str">
        <f>+T4</f>
        <v>año 2015</v>
      </c>
    </row>
    <row r="30" spans="2:20">
      <c r="B30" s="6" t="s">
        <v>493</v>
      </c>
      <c r="F30" s="7">
        <v>138976</v>
      </c>
      <c r="H30" s="7">
        <v>133516</v>
      </c>
      <c r="J30" s="7">
        <v>130507</v>
      </c>
      <c r="Q30" s="7" t="s">
        <v>494</v>
      </c>
      <c r="R30" s="7">
        <f>+H11/O14</f>
        <v>2.5115876859218265</v>
      </c>
      <c r="S30" s="7">
        <f>+F11/M14</f>
        <v>2.7140464726815994</v>
      </c>
      <c r="T30" s="7">
        <f>+(D11/K14)</f>
        <v>2.3271418818978269</v>
      </c>
    </row>
    <row r="31" spans="2:20">
      <c r="B31" s="6"/>
      <c r="F31" s="7"/>
      <c r="H31" s="7"/>
      <c r="J31" s="7"/>
      <c r="Q31" s="7" t="s">
        <v>495</v>
      </c>
      <c r="R31" s="7">
        <f>+(H11-H12)/O14</f>
        <v>2.4895443539511337</v>
      </c>
      <c r="S31" s="7">
        <f>+(F11-F12)/M14</f>
        <v>2.6882980950387272</v>
      </c>
      <c r="T31" s="7">
        <f>+(D11-D12)/K14</f>
        <v>2.3085959722380247</v>
      </c>
    </row>
    <row r="32" spans="2:20">
      <c r="B32" s="6"/>
      <c r="F32" s="7"/>
      <c r="H32" s="7"/>
      <c r="J32" s="7"/>
      <c r="Q32" s="7" t="s">
        <v>496</v>
      </c>
      <c r="R32" s="7">
        <f>+H15/O14</f>
        <v>0.10443067828055722</v>
      </c>
      <c r="S32" s="7">
        <f>+F15/M14</f>
        <v>0.18030842230130487</v>
      </c>
      <c r="T32" s="7">
        <f>+D15/K14</f>
        <v>0.16753896916600297</v>
      </c>
    </row>
    <row r="33" spans="2:20">
      <c r="B33" s="6"/>
      <c r="F33" s="7"/>
      <c r="H33" s="7"/>
      <c r="J33" s="7"/>
      <c r="Q33" s="7"/>
      <c r="R33" s="7"/>
      <c r="S33" s="7"/>
      <c r="T33" s="7"/>
    </row>
    <row r="34" spans="2:20">
      <c r="Q34" s="6"/>
    </row>
    <row r="35" spans="2:20">
      <c r="B35" s="9" t="s">
        <v>498</v>
      </c>
      <c r="F35" s="10">
        <v>50688</v>
      </c>
      <c r="H35" s="9">
        <v>41721</v>
      </c>
      <c r="J35" s="10">
        <v>29955</v>
      </c>
      <c r="Q35" s="6"/>
    </row>
    <row r="36" spans="2:20">
      <c r="B36" s="9"/>
      <c r="F36" s="10"/>
      <c r="H36" s="9"/>
      <c r="J36" s="10"/>
    </row>
    <row r="37" spans="2:20">
      <c r="B37" s="9" t="s">
        <v>503</v>
      </c>
      <c r="F37" s="7">
        <f>+(F35-F38)*-1</f>
        <v>-30195</v>
      </c>
      <c r="H37" s="7">
        <f>+(H35-H38)*-1</f>
        <v>-29944</v>
      </c>
      <c r="J37" s="7">
        <f>+(J35-J38)*-1</f>
        <v>-28070</v>
      </c>
      <c r="Q37" s="6"/>
    </row>
    <row r="38" spans="2:20">
      <c r="B38" s="9" t="s">
        <v>505</v>
      </c>
      <c r="F38" s="10">
        <v>20493</v>
      </c>
      <c r="H38" s="9">
        <v>11777</v>
      </c>
      <c r="J38" s="10">
        <v>1885</v>
      </c>
      <c r="Q38" s="6"/>
    </row>
    <row r="40" spans="2:20">
      <c r="Q40" s="8" t="s">
        <v>512</v>
      </c>
      <c r="R40" s="7" t="s">
        <v>583</v>
      </c>
      <c r="S40" s="7" t="s">
        <v>453</v>
      </c>
      <c r="T40" s="7" t="str">
        <f>+T29</f>
        <v>año 2015</v>
      </c>
    </row>
    <row r="41" spans="2:20">
      <c r="B41" s="6" t="s">
        <v>508</v>
      </c>
      <c r="F41" s="7">
        <v>2930</v>
      </c>
      <c r="H41" s="7">
        <v>1976</v>
      </c>
      <c r="J41" s="7">
        <v>1608</v>
      </c>
      <c r="Q41" s="6" t="s">
        <v>514</v>
      </c>
      <c r="R41" s="7">
        <f>+(O10+O14)/O5</f>
        <v>49.128084280565567</v>
      </c>
      <c r="S41" s="7">
        <f>+(M10+M14)/M5</f>
        <v>27.502356406480118</v>
      </c>
      <c r="T41" s="10">
        <f>+(K10+K14)/K5</f>
        <v>8.6526003649635044</v>
      </c>
    </row>
    <row r="42" spans="2:20">
      <c r="B42" s="6" t="s">
        <v>510</v>
      </c>
      <c r="F42" s="7">
        <v>-8288</v>
      </c>
      <c r="H42" s="7">
        <v>-8837</v>
      </c>
      <c r="J42" s="7">
        <v>-12650</v>
      </c>
      <c r="Q42" s="6" t="s">
        <v>515</v>
      </c>
      <c r="R42" s="7">
        <f>+(O11+O16)/O5</f>
        <v>40.336567784862766</v>
      </c>
      <c r="S42" s="7">
        <f>+(M10+M16)/M6</f>
        <v>23.293519882179677</v>
      </c>
      <c r="T42" s="10">
        <f>+(K10+K15)/K5</f>
        <v>7.0536496350364963</v>
      </c>
    </row>
    <row r="43" spans="2:20">
      <c r="Q43" s="6" t="s">
        <v>517</v>
      </c>
      <c r="R43" s="7">
        <f>+O5/(O10+O5)</f>
        <v>2.4206266651455262E-2</v>
      </c>
      <c r="S43" s="7">
        <f>+M5/(M10+M5)</f>
        <v>4.1184212920561174E-2</v>
      </c>
      <c r="T43" s="7">
        <f>+(K6/(K6+K10))</f>
        <v>0.12424261317583844</v>
      </c>
    </row>
    <row r="44" spans="2:20">
      <c r="Q44" s="9" t="s">
        <v>518</v>
      </c>
      <c r="R44" s="7">
        <f>+(1-J54)*-J42/(O11+O16)</f>
        <v>9.5120309514810084E-2</v>
      </c>
      <c r="S44" s="257">
        <f>+(1-H54)*H42*-1/(M10+M16)</f>
        <v>3.6051327855541104E-2</v>
      </c>
      <c r="T44" s="42">
        <f>+(1-F54)*F42*-1/(K10+K15)</f>
        <v>5.3603766751177111E-2</v>
      </c>
    </row>
    <row r="45" spans="2:20">
      <c r="B45" s="9" t="s">
        <v>513</v>
      </c>
      <c r="F45" s="10">
        <f>+F41+F42</f>
        <v>-5358</v>
      </c>
      <c r="H45" s="10">
        <f>+H41+H42</f>
        <v>-6861</v>
      </c>
      <c r="J45" s="10">
        <f>+J41+J42</f>
        <v>-11042</v>
      </c>
    </row>
    <row r="46" spans="2:20">
      <c r="Q46" s="6"/>
    </row>
    <row r="47" spans="2:20">
      <c r="B47" s="9" t="s">
        <v>516</v>
      </c>
      <c r="F47" s="10">
        <f>+F45+F38</f>
        <v>15135</v>
      </c>
      <c r="H47" s="9">
        <f>+H45+H38</f>
        <v>4916</v>
      </c>
      <c r="J47" s="10">
        <f>+J45+J38</f>
        <v>-9157</v>
      </c>
      <c r="Q47" s="6"/>
    </row>
    <row r="48" spans="2:20">
      <c r="Q48" s="6"/>
    </row>
    <row r="49" spans="2:20">
      <c r="B49" s="6" t="s">
        <v>519</v>
      </c>
      <c r="F49" s="7">
        <v>0</v>
      </c>
      <c r="H49" s="7">
        <v>-1744</v>
      </c>
      <c r="J49" s="7">
        <v>-861</v>
      </c>
      <c r="Q49" s="6"/>
    </row>
    <row r="50" spans="2:20">
      <c r="Q50" s="6"/>
    </row>
    <row r="51" spans="2:20">
      <c r="B51" s="9" t="s">
        <v>524</v>
      </c>
      <c r="F51" s="10">
        <f>+F47+F49</f>
        <v>15135</v>
      </c>
      <c r="H51" s="9">
        <f>+H47+H49</f>
        <v>3172</v>
      </c>
      <c r="J51" s="10">
        <f>+J47+J49</f>
        <v>-10018</v>
      </c>
      <c r="Q51" s="6"/>
    </row>
    <row r="52" spans="2:20">
      <c r="Q52" s="3"/>
    </row>
    <row r="53" spans="2:20">
      <c r="Q53" s="6"/>
    </row>
    <row r="54" spans="2:20">
      <c r="B54" s="6" t="s">
        <v>528</v>
      </c>
      <c r="F54" s="7">
        <f>-F49/F47</f>
        <v>0</v>
      </c>
      <c r="H54" s="7">
        <f>-H49/H47</f>
        <v>0.35475996745321398</v>
      </c>
      <c r="J54" s="7">
        <f>-J49/J47</f>
        <v>-9.4026427869389542E-2</v>
      </c>
      <c r="Q54" s="3"/>
    </row>
    <row r="55" spans="2:20">
      <c r="B55" s="6"/>
      <c r="F55" s="7"/>
      <c r="H55" s="7"/>
      <c r="J55" s="7"/>
      <c r="Q55" s="6"/>
    </row>
    <row r="56" spans="2:20">
      <c r="B56" s="6"/>
      <c r="F56" s="7"/>
      <c r="H56" s="7"/>
      <c r="J56" s="7"/>
    </row>
    <row r="57" spans="2:20">
      <c r="Q57" s="3"/>
    </row>
    <row r="58" spans="2:20">
      <c r="B58" s="6" t="s">
        <v>604</v>
      </c>
      <c r="Q58" s="6"/>
    </row>
    <row r="59" spans="2:20">
      <c r="F59" s="7" t="s">
        <v>452</v>
      </c>
      <c r="H59" s="7" t="s">
        <v>453</v>
      </c>
      <c r="J59" s="7" t="s">
        <v>583</v>
      </c>
      <c r="Q59" s="6"/>
    </row>
    <row r="60" spans="2:20">
      <c r="B60" s="9" t="s">
        <v>532</v>
      </c>
    </row>
    <row r="61" spans="2:20">
      <c r="B61" s="6" t="s">
        <v>533</v>
      </c>
      <c r="F61" s="7">
        <f>+F38/F30</f>
        <v>0.14745711489753627</v>
      </c>
      <c r="H61" s="7">
        <f>+H38/H30</f>
        <v>8.8206656880074299E-2</v>
      </c>
      <c r="J61" s="7">
        <f>+J38/J30</f>
        <v>1.4443669688215957E-2</v>
      </c>
      <c r="Q61" s="8" t="s">
        <v>605</v>
      </c>
    </row>
    <row r="62" spans="2:20">
      <c r="B62" s="6" t="s">
        <v>534</v>
      </c>
      <c r="F62" s="7">
        <f>+F30/D21</f>
        <v>0.65683295129616937</v>
      </c>
      <c r="H62" s="7">
        <f>+H30/F21</f>
        <v>0.68989464220202446</v>
      </c>
      <c r="J62" s="7">
        <f>+J30/H21</f>
        <v>0.72178284627126521</v>
      </c>
      <c r="R62" s="7" t="s">
        <v>583</v>
      </c>
      <c r="S62" s="7" t="s">
        <v>453</v>
      </c>
      <c r="T62" s="7" t="str">
        <f>+T4</f>
        <v>año 2015</v>
      </c>
    </row>
    <row r="63" spans="2:20">
      <c r="Q63" s="6" t="s">
        <v>535</v>
      </c>
      <c r="R63" s="7">
        <f>+D14</f>
        <v>75271</v>
      </c>
      <c r="S63" s="7">
        <f>+F14</f>
        <v>71884</v>
      </c>
      <c r="T63" s="7">
        <f>+D14</f>
        <v>75271</v>
      </c>
    </row>
    <row r="64" spans="2:20">
      <c r="B64" s="9" t="s">
        <v>536</v>
      </c>
      <c r="F64" s="7">
        <f>+F38/D21</f>
        <v>9.6854691967767095E-2</v>
      </c>
      <c r="H64" s="7">
        <f>+H38/F21</f>
        <v>6.0853299988115596E-2</v>
      </c>
      <c r="J64" s="7">
        <f>+J38/H21</f>
        <v>1.0425193018162511E-2</v>
      </c>
      <c r="Q64" s="6" t="s">
        <v>537</v>
      </c>
      <c r="R64" s="7">
        <f>+D12</f>
        <v>652</v>
      </c>
      <c r="S64" s="7">
        <f>+F12</f>
        <v>738</v>
      </c>
      <c r="T64" s="7">
        <f>+D12</f>
        <v>652</v>
      </c>
    </row>
    <row r="65" spans="2:20">
      <c r="B65" s="6" t="s">
        <v>538</v>
      </c>
      <c r="Q65" s="9" t="s">
        <v>539</v>
      </c>
      <c r="R65" s="10">
        <f>+R63+R64</f>
        <v>75923</v>
      </c>
      <c r="S65" s="10">
        <f>+S63+S64</f>
        <v>72622</v>
      </c>
      <c r="T65" s="10">
        <f>+T63+T64</f>
        <v>75923</v>
      </c>
    </row>
    <row r="66" spans="2:20">
      <c r="B66" s="6" t="s">
        <v>540</v>
      </c>
      <c r="Q66" s="6" t="s">
        <v>485</v>
      </c>
      <c r="R66" s="7">
        <f>+O17</f>
        <v>31711</v>
      </c>
      <c r="S66" s="7">
        <f>+M17</f>
        <v>28578</v>
      </c>
      <c r="T66" s="7">
        <f>+K17</f>
        <v>35049</v>
      </c>
    </row>
    <row r="67" spans="2:20">
      <c r="Q67" s="9" t="s">
        <v>541</v>
      </c>
      <c r="R67" s="10">
        <f>+R66</f>
        <v>31711</v>
      </c>
      <c r="S67" s="10">
        <f>+S66</f>
        <v>28578</v>
      </c>
      <c r="T67" s="10">
        <f>+T66</f>
        <v>35049</v>
      </c>
    </row>
    <row r="68" spans="2:20">
      <c r="B68" s="3"/>
    </row>
    <row r="69" spans="2:20">
      <c r="B69" s="6"/>
      <c r="Q69" s="9" t="s">
        <v>544</v>
      </c>
      <c r="R69" s="7">
        <f>+R65-R67</f>
        <v>44212</v>
      </c>
      <c r="S69" s="7">
        <f>+S65-S67</f>
        <v>44044</v>
      </c>
      <c r="T69" s="7">
        <f>+T65-T67</f>
        <v>40874</v>
      </c>
    </row>
    <row r="70" spans="2:20">
      <c r="B70" s="6"/>
    </row>
    <row r="71" spans="2:20">
      <c r="B71" s="6"/>
      <c r="Q71" s="6" t="s">
        <v>678</v>
      </c>
    </row>
    <row r="72" spans="2:20">
      <c r="F72" s="7" t="s">
        <v>452</v>
      </c>
      <c r="H72" s="7" t="s">
        <v>453</v>
      </c>
      <c r="J72" s="7" t="s">
        <v>583</v>
      </c>
      <c r="Q72" s="6" t="s">
        <v>679</v>
      </c>
    </row>
    <row r="73" spans="2:20">
      <c r="B73" s="8" t="s">
        <v>610</v>
      </c>
      <c r="F73" s="7">
        <f>+F51/K5</f>
        <v>0.69046532846715325</v>
      </c>
      <c r="H73" s="7">
        <f>+H51/M5</f>
        <v>0.46715758468335788</v>
      </c>
      <c r="J73" s="7">
        <f>+J51/O5</f>
        <v>-2.7773773218741336</v>
      </c>
      <c r="Q73" s="6"/>
    </row>
    <row r="74" spans="2:20">
      <c r="B74" s="3"/>
      <c r="Q74" s="6"/>
    </row>
    <row r="75" spans="2:20">
      <c r="B75" s="6"/>
      <c r="Q75" s="6"/>
    </row>
    <row r="76" spans="2:20">
      <c r="B76" s="3"/>
      <c r="Q76" s="6"/>
    </row>
    <row r="77" spans="2:20">
      <c r="B77" s="6"/>
      <c r="Q77" s="6"/>
    </row>
    <row r="78" spans="2:20">
      <c r="B78" s="6"/>
    </row>
    <row r="79" spans="2:20">
      <c r="B79" s="6"/>
    </row>
    <row r="80" spans="2:20">
      <c r="B80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91" spans="2:2">
      <c r="B91" s="9"/>
    </row>
    <row r="93" spans="2:2">
      <c r="B93" s="9"/>
    </row>
    <row r="95" spans="2:2">
      <c r="B95" s="9"/>
    </row>
    <row r="96" spans="2:2">
      <c r="B96" s="6"/>
    </row>
    <row r="97" spans="2:11">
      <c r="B97" s="9"/>
      <c r="F97" s="9"/>
      <c r="G97" s="1"/>
      <c r="J97" s="9"/>
    </row>
    <row r="98" spans="2:11">
      <c r="C98" s="7"/>
      <c r="G98" s="7"/>
      <c r="K98" s="7"/>
    </row>
    <row r="99" spans="2:11">
      <c r="B99" s="6"/>
      <c r="C99" s="7"/>
      <c r="F99" s="9"/>
      <c r="G99" s="7"/>
      <c r="J99" s="9"/>
      <c r="K99" s="7"/>
    </row>
    <row r="100" spans="2:11">
      <c r="C100" s="7"/>
      <c r="F100" s="6"/>
      <c r="G100" s="7"/>
      <c r="J100" s="6"/>
      <c r="K100" s="7"/>
    </row>
    <row r="101" spans="2:11">
      <c r="B101" s="9"/>
      <c r="C101" s="7"/>
      <c r="F101" s="9"/>
      <c r="G101" s="7"/>
      <c r="J101" s="9"/>
      <c r="K101" s="7"/>
    </row>
    <row r="102" spans="2:11">
      <c r="B102" s="9"/>
      <c r="C102" s="7"/>
      <c r="G102" s="7"/>
      <c r="K102" s="7"/>
    </row>
    <row r="103" spans="2:11">
      <c r="B103" s="6"/>
      <c r="C103" s="7"/>
      <c r="F103" s="6"/>
      <c r="G103" s="7"/>
      <c r="J103" s="6"/>
      <c r="K103" s="7"/>
    </row>
    <row r="104" spans="2:11">
      <c r="G104" s="1"/>
    </row>
    <row r="105" spans="2:11">
      <c r="C105" s="7"/>
      <c r="F105" s="9"/>
      <c r="G105" s="7"/>
      <c r="J105" s="9"/>
      <c r="K105" s="7"/>
    </row>
    <row r="106" spans="2:11">
      <c r="C106" s="7"/>
      <c r="F106" s="9"/>
      <c r="G106" s="7"/>
      <c r="J106" s="9"/>
      <c r="K106" s="7"/>
    </row>
    <row r="107" spans="2:11">
      <c r="B107" s="3"/>
      <c r="C107" s="7"/>
      <c r="F107" s="6"/>
      <c r="G107" s="7"/>
      <c r="J107" s="6"/>
      <c r="K107" s="7"/>
    </row>
    <row r="108" spans="2:11">
      <c r="B108" s="6"/>
      <c r="C108" s="10"/>
      <c r="D108" s="3"/>
      <c r="G108" s="10"/>
      <c r="K108" s="10"/>
    </row>
    <row r="109" spans="2:11">
      <c r="B109" s="6"/>
      <c r="D109" s="6"/>
    </row>
    <row r="111" spans="2:11">
      <c r="B111" s="9"/>
    </row>
    <row r="112" spans="2:11">
      <c r="B112" s="9"/>
    </row>
    <row r="113" spans="2:2">
      <c r="B113" s="9"/>
    </row>
  </sheetData>
  <mergeCells count="1">
    <mergeCell ref="D3:O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T113"/>
  <sheetViews>
    <sheetView workbookViewId="0">
      <selection activeCell="H81" sqref="H81"/>
    </sheetView>
  </sheetViews>
  <sheetFormatPr baseColWidth="10" defaultRowHeight="12"/>
  <cols>
    <col min="1" max="1" width="2.140625" style="1" customWidth="1"/>
    <col min="2" max="2" width="13.7109375" style="1" customWidth="1"/>
    <col min="3" max="3" width="19.7109375" style="1" bestFit="1" customWidth="1"/>
    <col min="4" max="4" width="12.28515625" style="1" bestFit="1" customWidth="1"/>
    <col min="5" max="5" width="2.28515625" style="29" customWidth="1"/>
    <col min="6" max="6" width="15.28515625" style="1" customWidth="1"/>
    <col min="7" max="7" width="17.42578125" style="29" bestFit="1" customWidth="1"/>
    <col min="8" max="8" width="11.42578125" style="1"/>
    <col min="9" max="9" width="3.42578125" style="1" customWidth="1"/>
    <col min="10" max="10" width="27.28515625" style="1" bestFit="1" customWidth="1"/>
    <col min="11" max="11" width="17.42578125" style="1" bestFit="1" customWidth="1"/>
    <col min="12" max="12" width="2.28515625" style="29" customWidth="1"/>
    <col min="13" max="13" width="11.42578125" style="1"/>
    <col min="14" max="14" width="2.28515625" style="29" customWidth="1"/>
    <col min="15" max="15" width="11.42578125" style="1"/>
    <col min="16" max="16" width="2.140625" style="1" customWidth="1"/>
    <col min="17" max="17" width="29.140625" style="1" customWidth="1"/>
    <col min="18" max="18" width="14" style="1" customWidth="1"/>
    <col min="19" max="16384" width="11.42578125" style="1"/>
  </cols>
  <sheetData>
    <row r="3" spans="3:20">
      <c r="D3" s="269" t="s">
        <v>676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3:20">
      <c r="C4" s="8" t="s">
        <v>451</v>
      </c>
      <c r="D4" s="7" t="s">
        <v>452</v>
      </c>
      <c r="E4" s="30"/>
      <c r="F4" s="7" t="s">
        <v>453</v>
      </c>
      <c r="G4" s="30"/>
      <c r="H4" s="7" t="s">
        <v>583</v>
      </c>
      <c r="J4" s="8" t="s">
        <v>454</v>
      </c>
      <c r="K4" s="7" t="s">
        <v>452</v>
      </c>
      <c r="L4" s="30"/>
      <c r="M4" s="7" t="s">
        <v>453</v>
      </c>
      <c r="N4" s="30"/>
      <c r="O4" s="7" t="s">
        <v>583</v>
      </c>
      <c r="Q4" s="7" t="s">
        <v>620</v>
      </c>
      <c r="R4" s="7" t="str">
        <f>+O4</f>
        <v>año 2013</v>
      </c>
      <c r="S4" s="7" t="str">
        <f>+M4</f>
        <v>año 2014</v>
      </c>
      <c r="T4" s="7" t="str">
        <f>+K4</f>
        <v>año 2015</v>
      </c>
    </row>
    <row r="5" spans="3:20">
      <c r="C5" s="8" t="s">
        <v>455</v>
      </c>
      <c r="D5" s="10">
        <f>+SUM(D6:D8)</f>
        <v>48301</v>
      </c>
      <c r="F5" s="10">
        <f>+SUM(F6:F8)</f>
        <v>39552</v>
      </c>
      <c r="H5" s="10">
        <f>+SUM(H6:H8)</f>
        <v>35382</v>
      </c>
      <c r="J5" s="8" t="s">
        <v>456</v>
      </c>
      <c r="K5" s="25">
        <f>+K6</f>
        <v>33197</v>
      </c>
      <c r="M5" s="25">
        <f>+M6</f>
        <v>18235</v>
      </c>
      <c r="O5" s="25">
        <f>+O6</f>
        <v>15977</v>
      </c>
      <c r="Q5" s="9" t="s">
        <v>457</v>
      </c>
      <c r="R5" s="6">
        <f>+O5+O10-H5</f>
        <v>-17223</v>
      </c>
      <c r="S5" s="6">
        <f>+M6+M10-F5</f>
        <v>-19565</v>
      </c>
      <c r="T5" s="7">
        <f>+K5+K10-D5</f>
        <v>-9184</v>
      </c>
    </row>
    <row r="6" spans="3:20">
      <c r="C6" s="6" t="s">
        <v>458</v>
      </c>
      <c r="D6" s="7">
        <v>79</v>
      </c>
      <c r="F6" s="7">
        <v>38</v>
      </c>
      <c r="H6" s="7">
        <v>1</v>
      </c>
      <c r="J6" s="9" t="s">
        <v>459</v>
      </c>
      <c r="K6" s="10">
        <v>33197</v>
      </c>
      <c r="M6" s="10">
        <f>+M7+M8</f>
        <v>18235</v>
      </c>
      <c r="O6" s="10">
        <f>+O7+O8</f>
        <v>15977</v>
      </c>
      <c r="Q6" s="3"/>
    </row>
    <row r="7" spans="3:20">
      <c r="C7" s="6" t="s">
        <v>461</v>
      </c>
      <c r="D7" s="7">
        <v>22929</v>
      </c>
      <c r="F7" s="7">
        <v>18625</v>
      </c>
      <c r="H7" s="7">
        <v>17156</v>
      </c>
      <c r="J7" s="6" t="s">
        <v>462</v>
      </c>
      <c r="K7" s="7">
        <v>4850</v>
      </c>
      <c r="M7" s="6">
        <v>4850</v>
      </c>
      <c r="O7" s="7">
        <v>4850</v>
      </c>
      <c r="Q7" s="6"/>
    </row>
    <row r="8" spans="3:20">
      <c r="C8" s="6" t="s">
        <v>464</v>
      </c>
      <c r="D8" s="7">
        <v>25293</v>
      </c>
      <c r="F8" s="7">
        <v>20889</v>
      </c>
      <c r="H8" s="7">
        <v>18225</v>
      </c>
      <c r="J8" s="6" t="s">
        <v>465</v>
      </c>
      <c r="K8" s="7">
        <v>28347</v>
      </c>
      <c r="M8" s="6">
        <v>13385</v>
      </c>
      <c r="O8" s="7">
        <v>11127</v>
      </c>
      <c r="Q8" s="6"/>
    </row>
    <row r="9" spans="3:20">
      <c r="Q9" s="6"/>
    </row>
    <row r="10" spans="3:20">
      <c r="J10" s="8" t="s">
        <v>468</v>
      </c>
      <c r="K10" s="25">
        <f>+K11+K12</f>
        <v>5920</v>
      </c>
      <c r="M10" s="25">
        <f>+M11+M12</f>
        <v>1752</v>
      </c>
      <c r="O10" s="25">
        <f>+O11+O12</f>
        <v>2182</v>
      </c>
      <c r="Q10" s="6"/>
    </row>
    <row r="11" spans="3:20">
      <c r="C11" s="8" t="s">
        <v>469</v>
      </c>
      <c r="D11" s="10">
        <f>+SUM(D12:D15)</f>
        <v>48397</v>
      </c>
      <c r="F11" s="10">
        <f>+SUM(F12:F15)</f>
        <v>29965</v>
      </c>
      <c r="H11" s="10">
        <f>+SUM(H12:H15)</f>
        <v>23899</v>
      </c>
      <c r="J11" s="6" t="s">
        <v>470</v>
      </c>
      <c r="K11" s="7">
        <v>3597</v>
      </c>
      <c r="M11" s="7"/>
      <c r="O11" s="7">
        <v>303</v>
      </c>
      <c r="Q11" s="6"/>
    </row>
    <row r="12" spans="3:20">
      <c r="C12" s="6" t="s">
        <v>472</v>
      </c>
      <c r="D12" s="7">
        <v>1555</v>
      </c>
      <c r="F12" s="7">
        <v>1909</v>
      </c>
      <c r="H12" s="7">
        <v>1909</v>
      </c>
      <c r="J12" s="6" t="s">
        <v>473</v>
      </c>
      <c r="K12" s="7">
        <v>2323</v>
      </c>
      <c r="M12" s="7">
        <v>1752</v>
      </c>
      <c r="O12" s="7">
        <v>1879</v>
      </c>
      <c r="Q12" s="6"/>
    </row>
    <row r="13" spans="3:20">
      <c r="C13" s="6" t="s">
        <v>475</v>
      </c>
      <c r="D13" s="7"/>
      <c r="Q13" s="6"/>
    </row>
    <row r="14" spans="3:20">
      <c r="C14" s="6" t="s">
        <v>477</v>
      </c>
      <c r="D14" s="7">
        <v>27972</v>
      </c>
      <c r="F14" s="7">
        <v>24966</v>
      </c>
      <c r="H14" s="7">
        <v>19138</v>
      </c>
      <c r="J14" s="8" t="s">
        <v>478</v>
      </c>
      <c r="K14" s="25">
        <f>+K15+K17</f>
        <v>57581</v>
      </c>
      <c r="M14" s="25">
        <f>+M15+M17</f>
        <v>49530</v>
      </c>
      <c r="O14" s="25">
        <f>+O15+O17</f>
        <v>41122</v>
      </c>
      <c r="Q14" s="6"/>
    </row>
    <row r="15" spans="3:20">
      <c r="C15" s="6" t="s">
        <v>479</v>
      </c>
      <c r="D15" s="7">
        <v>18870</v>
      </c>
      <c r="F15" s="7">
        <v>3090</v>
      </c>
      <c r="H15" s="7">
        <v>2852</v>
      </c>
      <c r="J15" s="9" t="s">
        <v>480</v>
      </c>
      <c r="K15" s="10">
        <v>1006</v>
      </c>
      <c r="M15" s="10">
        <v>303</v>
      </c>
      <c r="O15" s="10">
        <v>149</v>
      </c>
      <c r="Q15" s="6"/>
    </row>
    <row r="16" spans="3:20">
      <c r="J16" s="6" t="s">
        <v>482</v>
      </c>
      <c r="K16" s="7">
        <v>1006</v>
      </c>
      <c r="M16" s="7">
        <v>303</v>
      </c>
      <c r="O16" s="7">
        <v>149</v>
      </c>
      <c r="Q16" s="6"/>
    </row>
    <row r="17" spans="2:20">
      <c r="J17" s="9" t="s">
        <v>484</v>
      </c>
      <c r="K17" s="10">
        <f>K18+K19</f>
        <v>56575</v>
      </c>
      <c r="M17" s="10">
        <f>+M18+M19</f>
        <v>49227</v>
      </c>
      <c r="O17" s="10">
        <f>+O18+O19</f>
        <v>40973</v>
      </c>
      <c r="Q17" s="6"/>
    </row>
    <row r="18" spans="2:20">
      <c r="F18" s="29"/>
      <c r="H18" s="29"/>
      <c r="J18" s="6" t="s">
        <v>485</v>
      </c>
      <c r="K18" s="7">
        <v>27828</v>
      </c>
      <c r="M18" s="7">
        <v>27805</v>
      </c>
      <c r="O18" s="7">
        <v>24469</v>
      </c>
      <c r="Q18" s="6"/>
    </row>
    <row r="19" spans="2:20">
      <c r="J19" s="6" t="s">
        <v>486</v>
      </c>
      <c r="K19" s="7">
        <v>28747</v>
      </c>
      <c r="M19" s="1">
        <v>21422</v>
      </c>
      <c r="O19" s="1">
        <v>16504</v>
      </c>
      <c r="Q19" s="6"/>
    </row>
    <row r="20" spans="2:20" ht="12.75" thickBot="1">
      <c r="Q20" s="6"/>
    </row>
    <row r="21" spans="2:20" ht="13.5" thickTop="1" thickBot="1">
      <c r="C21" s="25" t="s">
        <v>487</v>
      </c>
      <c r="D21" s="256">
        <f>+D11+D5</f>
        <v>96698</v>
      </c>
      <c r="F21" s="256">
        <f>+F11+F5</f>
        <v>69517</v>
      </c>
      <c r="H21" s="256">
        <f>+H11+H5</f>
        <v>59281</v>
      </c>
      <c r="J21" s="8" t="s">
        <v>488</v>
      </c>
      <c r="K21" s="256">
        <f>+K14+K10+K5</f>
        <v>96698</v>
      </c>
      <c r="M21" s="256">
        <f>+M14+M10+M5</f>
        <v>69517</v>
      </c>
      <c r="O21" s="256">
        <f>+O14+O10+O5</f>
        <v>59281</v>
      </c>
      <c r="Q21" s="6"/>
    </row>
    <row r="22" spans="2:20" ht="12.75" thickTop="1">
      <c r="Q22" s="6"/>
    </row>
    <row r="23" spans="2:20">
      <c r="Q23" s="6"/>
    </row>
    <row r="24" spans="2:20">
      <c r="Q24" s="6"/>
    </row>
    <row r="25" spans="2:20">
      <c r="B25" s="6" t="s">
        <v>489</v>
      </c>
      <c r="Q25" s="6"/>
    </row>
    <row r="26" spans="2:20">
      <c r="B26" s="6" t="s">
        <v>490</v>
      </c>
    </row>
    <row r="27" spans="2:20">
      <c r="B27" s="6" t="s">
        <v>634</v>
      </c>
      <c r="Q27" s="8" t="s">
        <v>492</v>
      </c>
    </row>
    <row r="29" spans="2:20">
      <c r="F29" s="7" t="s">
        <v>452</v>
      </c>
      <c r="H29" s="7" t="s">
        <v>453</v>
      </c>
      <c r="I29" s="23"/>
      <c r="J29" s="7" t="s">
        <v>583</v>
      </c>
      <c r="R29" s="7" t="s">
        <v>583</v>
      </c>
      <c r="S29" s="7" t="s">
        <v>453</v>
      </c>
      <c r="T29" s="7" t="str">
        <f>+T4</f>
        <v>año 2015</v>
      </c>
    </row>
    <row r="30" spans="2:20">
      <c r="B30" s="6" t="s">
        <v>493</v>
      </c>
      <c r="F30" s="7">
        <v>220271</v>
      </c>
      <c r="H30" s="7">
        <v>203347</v>
      </c>
      <c r="I30" s="23"/>
      <c r="J30" s="7">
        <v>196937</v>
      </c>
      <c r="Q30" s="7" t="s">
        <v>494</v>
      </c>
      <c r="R30" s="7">
        <f>+H11/O14</f>
        <v>0.58117309469383782</v>
      </c>
      <c r="S30" s="7">
        <f>+F11/M14</f>
        <v>0.60498687664041995</v>
      </c>
      <c r="T30" s="7">
        <f>+(D11/K14)</f>
        <v>0.84050294367933864</v>
      </c>
    </row>
    <row r="31" spans="2:20">
      <c r="B31" s="6"/>
      <c r="F31" s="7"/>
      <c r="H31" s="7"/>
      <c r="I31" s="23"/>
      <c r="J31" s="7"/>
      <c r="Q31" s="7" t="s">
        <v>495</v>
      </c>
      <c r="R31" s="7">
        <f>+(H11-H12)/O14</f>
        <v>0.53475025533777543</v>
      </c>
      <c r="S31" s="7">
        <f>+(F11-F12)/M14</f>
        <v>0.56644457904300427</v>
      </c>
      <c r="T31" s="7">
        <f>+(D11-D12)/K14</f>
        <v>0.81349750785849495</v>
      </c>
    </row>
    <row r="32" spans="2:20">
      <c r="B32" s="6"/>
      <c r="F32" s="7"/>
      <c r="H32" s="7"/>
      <c r="I32" s="23"/>
      <c r="J32" s="7"/>
      <c r="Q32" s="7" t="s">
        <v>496</v>
      </c>
      <c r="R32" s="7">
        <f>+H15/O14</f>
        <v>6.9354603375322219E-2</v>
      </c>
      <c r="S32" s="7">
        <f>+F15/M14</f>
        <v>6.2386432465172621E-2</v>
      </c>
      <c r="T32" s="7">
        <f>+D15/K14</f>
        <v>0.3277122661989198</v>
      </c>
    </row>
    <row r="33" spans="2:20">
      <c r="B33" s="6"/>
      <c r="F33" s="7"/>
      <c r="H33" s="7"/>
      <c r="I33" s="23"/>
      <c r="J33" s="7"/>
      <c r="Q33" s="7"/>
      <c r="R33" s="7"/>
      <c r="S33" s="7"/>
      <c r="T33" s="7"/>
    </row>
    <row r="34" spans="2:20">
      <c r="H34" s="23"/>
      <c r="I34" s="23"/>
      <c r="J34" s="23"/>
      <c r="Q34" s="6"/>
    </row>
    <row r="35" spans="2:20">
      <c r="B35" s="9" t="s">
        <v>498</v>
      </c>
      <c r="F35" s="10">
        <v>13873</v>
      </c>
      <c r="H35" s="10">
        <v>5146</v>
      </c>
      <c r="I35" s="23"/>
      <c r="J35" s="10">
        <v>-1063</v>
      </c>
      <c r="Q35" s="6"/>
    </row>
    <row r="36" spans="2:20">
      <c r="B36" s="9"/>
      <c r="F36" s="10"/>
      <c r="H36" s="10"/>
      <c r="I36" s="23"/>
      <c r="J36" s="10"/>
    </row>
    <row r="37" spans="2:20">
      <c r="B37" s="9" t="s">
        <v>503</v>
      </c>
      <c r="F37" s="7">
        <f>+(F35-F38)*-1</f>
        <v>-2319</v>
      </c>
      <c r="H37" s="7">
        <f>+(H35-H38)*-1</f>
        <v>-2032</v>
      </c>
      <c r="I37" s="23"/>
      <c r="J37" s="7">
        <f>+(J35-J38)*-1</f>
        <v>-2135</v>
      </c>
      <c r="Q37" s="6"/>
    </row>
    <row r="38" spans="2:20">
      <c r="B38" s="9" t="s">
        <v>505</v>
      </c>
      <c r="F38" s="10">
        <v>11554</v>
      </c>
      <c r="H38" s="10">
        <v>3114</v>
      </c>
      <c r="I38" s="23"/>
      <c r="J38" s="10">
        <v>-3198</v>
      </c>
      <c r="Q38" s="6"/>
    </row>
    <row r="39" spans="2:20">
      <c r="H39" s="23"/>
      <c r="I39" s="23"/>
      <c r="J39" s="23"/>
    </row>
    <row r="40" spans="2:20">
      <c r="H40" s="23"/>
      <c r="I40" s="23"/>
      <c r="J40" s="23"/>
      <c r="Q40" s="8" t="s">
        <v>512</v>
      </c>
      <c r="R40" s="7" t="s">
        <v>583</v>
      </c>
      <c r="S40" s="7" t="s">
        <v>453</v>
      </c>
      <c r="T40" s="7" t="str">
        <f>+T29</f>
        <v>año 2015</v>
      </c>
    </row>
    <row r="41" spans="2:20">
      <c r="B41" s="6" t="s">
        <v>508</v>
      </c>
      <c r="F41" s="7">
        <v>884</v>
      </c>
      <c r="H41" s="7">
        <v>133</v>
      </c>
      <c r="I41" s="23"/>
      <c r="J41" s="7">
        <v>58</v>
      </c>
      <c r="Q41" s="6" t="s">
        <v>514</v>
      </c>
      <c r="R41" s="7">
        <f>+(O10+O14)/O5</f>
        <v>2.7103961945296362</v>
      </c>
      <c r="S41" s="7">
        <f>+(M10+M14)/M5</f>
        <v>2.8122840690978888</v>
      </c>
      <c r="T41" s="10">
        <f>+(K10+K14)/K5</f>
        <v>1.9128535711058228</v>
      </c>
    </row>
    <row r="42" spans="2:20">
      <c r="B42" s="6" t="s">
        <v>510</v>
      </c>
      <c r="F42" s="7">
        <v>-2648</v>
      </c>
      <c r="H42" s="7">
        <v>-2098</v>
      </c>
      <c r="I42" s="23"/>
      <c r="J42" s="7">
        <v>-8661</v>
      </c>
      <c r="Q42" s="6" t="s">
        <v>515</v>
      </c>
      <c r="R42" s="7">
        <f>+(O11+O16)/O5</f>
        <v>2.8290667835012832E-2</v>
      </c>
      <c r="S42" s="7">
        <f>+(M10+M16)/M6</f>
        <v>0.1126953660542912</v>
      </c>
      <c r="T42" s="10">
        <f>+(K10+K15)/K5</f>
        <v>0.20863331023887702</v>
      </c>
    </row>
    <row r="43" spans="2:20">
      <c r="H43" s="23"/>
      <c r="I43" s="23"/>
      <c r="J43" s="23"/>
      <c r="Q43" s="6" t="s">
        <v>517</v>
      </c>
      <c r="R43" s="7">
        <f>+O5/(O10+O5)</f>
        <v>0.87983919819373313</v>
      </c>
      <c r="S43" s="7">
        <f>+M5/(M10+M5)</f>
        <v>0.9123430229649272</v>
      </c>
      <c r="T43" s="7">
        <f>+(K6/(K6+K10))</f>
        <v>0.84865915075286957</v>
      </c>
    </row>
    <row r="44" spans="2:20">
      <c r="H44" s="23"/>
      <c r="I44" s="23"/>
      <c r="J44" s="23"/>
      <c r="Q44" s="9" t="s">
        <v>518</v>
      </c>
      <c r="R44" s="7">
        <f>+(1-J54)*-J42/(O11+O16)</f>
        <v>21.450947797284314</v>
      </c>
      <c r="S44" s="257">
        <f>+(1-H54)*H42*-1/(M10+M16)</f>
        <v>-1.8277126624442286</v>
      </c>
      <c r="T44" s="42">
        <f>+(1-F54)*F42*-1/(K10+K15)</f>
        <v>0.18620401813775095</v>
      </c>
    </row>
    <row r="45" spans="2:20">
      <c r="B45" s="9" t="s">
        <v>513</v>
      </c>
      <c r="F45" s="10">
        <f>+F41+F42</f>
        <v>-1764</v>
      </c>
      <c r="H45" s="10">
        <f>+H41+H42</f>
        <v>-1965</v>
      </c>
      <c r="I45" s="23"/>
      <c r="J45" s="10">
        <f>+J41+J42</f>
        <v>-8603</v>
      </c>
    </row>
    <row r="46" spans="2:20">
      <c r="H46" s="23"/>
      <c r="I46" s="23"/>
      <c r="J46" s="23"/>
      <c r="Q46" s="6"/>
    </row>
    <row r="47" spans="2:20">
      <c r="B47" s="9" t="s">
        <v>516</v>
      </c>
      <c r="F47" s="10">
        <f>+F45+F38</f>
        <v>9790</v>
      </c>
      <c r="H47" s="10">
        <f>+H45+H38</f>
        <v>1149</v>
      </c>
      <c r="I47" s="23"/>
      <c r="J47" s="10">
        <f>+J45+J38</f>
        <v>-11801</v>
      </c>
      <c r="Q47" s="6"/>
    </row>
    <row r="48" spans="2:20">
      <c r="H48" s="23"/>
      <c r="I48" s="23"/>
      <c r="J48" s="23"/>
      <c r="Q48" s="6"/>
    </row>
    <row r="49" spans="2:20">
      <c r="B49" s="6" t="s">
        <v>519</v>
      </c>
      <c r="F49" s="7">
        <v>-5022</v>
      </c>
      <c r="H49" s="7">
        <v>-3206</v>
      </c>
      <c r="I49" s="23"/>
      <c r="J49" s="7">
        <v>-1410</v>
      </c>
      <c r="Q49" s="6"/>
    </row>
    <row r="50" spans="2:20">
      <c r="H50" s="23"/>
      <c r="I50" s="23"/>
      <c r="J50" s="23"/>
      <c r="Q50" s="6"/>
    </row>
    <row r="51" spans="2:20">
      <c r="B51" s="9" t="s">
        <v>524</v>
      </c>
      <c r="F51" s="10">
        <f>+F47+F49</f>
        <v>4768</v>
      </c>
      <c r="H51" s="10">
        <f>+H47+H49</f>
        <v>-2057</v>
      </c>
      <c r="I51" s="23"/>
      <c r="J51" s="10">
        <f>+J47+J49</f>
        <v>-13211</v>
      </c>
      <c r="Q51" s="6"/>
    </row>
    <row r="52" spans="2:20">
      <c r="H52" s="23"/>
      <c r="I52" s="23"/>
      <c r="J52" s="23"/>
      <c r="Q52" s="3"/>
    </row>
    <row r="53" spans="2:20">
      <c r="H53" s="23"/>
      <c r="I53" s="23"/>
      <c r="J53" s="23"/>
      <c r="Q53" s="6"/>
    </row>
    <row r="54" spans="2:20">
      <c r="B54" s="6" t="s">
        <v>528</v>
      </c>
      <c r="F54" s="7">
        <f>-F49/F47</f>
        <v>0.51297242083758943</v>
      </c>
      <c r="H54" s="7">
        <f>-H49/H47</f>
        <v>2.7902523933855528</v>
      </c>
      <c r="I54" s="23"/>
      <c r="J54" s="7">
        <f>-J49/J47</f>
        <v>-0.11948139988136598</v>
      </c>
      <c r="Q54" s="3"/>
    </row>
    <row r="55" spans="2:20">
      <c r="B55" s="6"/>
      <c r="F55" s="7"/>
      <c r="H55" s="7"/>
      <c r="I55" s="23"/>
      <c r="J55" s="7"/>
      <c r="Q55" s="6"/>
    </row>
    <row r="56" spans="2:20">
      <c r="B56" s="6"/>
      <c r="F56" s="7"/>
      <c r="H56" s="7"/>
      <c r="I56" s="23"/>
      <c r="J56" s="7"/>
    </row>
    <row r="57" spans="2:20">
      <c r="H57" s="23"/>
      <c r="I57" s="23"/>
      <c r="J57" s="23"/>
      <c r="Q57" s="3"/>
    </row>
    <row r="58" spans="2:20">
      <c r="B58" s="6" t="s">
        <v>604</v>
      </c>
      <c r="H58" s="23"/>
      <c r="I58" s="23"/>
      <c r="J58" s="23"/>
      <c r="Q58" s="6"/>
    </row>
    <row r="59" spans="2:20">
      <c r="F59" s="7" t="s">
        <v>452</v>
      </c>
      <c r="H59" s="7" t="s">
        <v>453</v>
      </c>
      <c r="I59" s="23"/>
      <c r="J59" s="7" t="s">
        <v>583</v>
      </c>
      <c r="Q59" s="6"/>
    </row>
    <row r="60" spans="2:20">
      <c r="B60" s="9" t="s">
        <v>532</v>
      </c>
      <c r="H60" s="23"/>
      <c r="I60" s="23"/>
      <c r="J60" s="23"/>
    </row>
    <row r="61" spans="2:20">
      <c r="B61" s="6" t="s">
        <v>533</v>
      </c>
      <c r="F61" s="7">
        <f>+F38/F30</f>
        <v>5.2453568558729929E-2</v>
      </c>
      <c r="H61" s="7">
        <f>+H38/H30</f>
        <v>1.5313724815217337E-2</v>
      </c>
      <c r="I61" s="23"/>
      <c r="J61" s="7">
        <f>+J38/J30</f>
        <v>-1.6238695623473496E-2</v>
      </c>
      <c r="Q61" s="8" t="s">
        <v>605</v>
      </c>
    </row>
    <row r="62" spans="2:20">
      <c r="B62" s="6" t="s">
        <v>534</v>
      </c>
      <c r="F62" s="7">
        <f>+F30/D21</f>
        <v>2.277927154646425</v>
      </c>
      <c r="H62" s="7">
        <f>+H30/F21</f>
        <v>2.9251406130874464</v>
      </c>
      <c r="I62" s="23"/>
      <c r="J62" s="7">
        <f>+J30/H21</f>
        <v>3.3220930821005044</v>
      </c>
      <c r="R62" s="7" t="s">
        <v>583</v>
      </c>
      <c r="S62" s="7" t="s">
        <v>453</v>
      </c>
      <c r="T62" s="7" t="str">
        <f>+T4</f>
        <v>año 2015</v>
      </c>
    </row>
    <row r="63" spans="2:20">
      <c r="H63" s="23"/>
      <c r="I63" s="23"/>
      <c r="J63" s="23"/>
      <c r="Q63" s="6" t="s">
        <v>535</v>
      </c>
      <c r="R63" s="7">
        <f>+D14</f>
        <v>27972</v>
      </c>
      <c r="S63" s="7">
        <f>+F14</f>
        <v>24966</v>
      </c>
      <c r="T63" s="7">
        <f>+D14</f>
        <v>27972</v>
      </c>
    </row>
    <row r="64" spans="2:20">
      <c r="B64" s="9" t="s">
        <v>536</v>
      </c>
      <c r="F64" s="7">
        <f>+F38/D21</f>
        <v>0.11948540817803885</v>
      </c>
      <c r="H64" s="7">
        <f>+H38/F21</f>
        <v>4.4794798394637285E-2</v>
      </c>
      <c r="I64" s="23"/>
      <c r="J64" s="7">
        <f>+J38/H21</f>
        <v>-5.3946458393077039E-2</v>
      </c>
      <c r="Q64" s="6" t="s">
        <v>537</v>
      </c>
      <c r="R64" s="7">
        <f>+D12</f>
        <v>1555</v>
      </c>
      <c r="S64" s="7">
        <f>+F12</f>
        <v>1909</v>
      </c>
      <c r="T64" s="7">
        <f>+D12</f>
        <v>1555</v>
      </c>
    </row>
    <row r="65" spans="2:20">
      <c r="B65" s="6" t="s">
        <v>538</v>
      </c>
      <c r="H65" s="23"/>
      <c r="I65" s="23"/>
      <c r="J65" s="23"/>
      <c r="Q65" s="9" t="s">
        <v>539</v>
      </c>
      <c r="R65" s="10">
        <f>+R63+R64</f>
        <v>29527</v>
      </c>
      <c r="S65" s="10">
        <f>+S63+S64</f>
        <v>26875</v>
      </c>
      <c r="T65" s="10">
        <f>+T63+T64</f>
        <v>29527</v>
      </c>
    </row>
    <row r="66" spans="2:20">
      <c r="B66" s="6" t="s">
        <v>540</v>
      </c>
      <c r="H66" s="23"/>
      <c r="I66" s="23"/>
      <c r="J66" s="23"/>
      <c r="Q66" s="6" t="s">
        <v>485</v>
      </c>
      <c r="R66" s="7">
        <f>+O17</f>
        <v>40973</v>
      </c>
      <c r="S66" s="7">
        <f>+M17</f>
        <v>49227</v>
      </c>
      <c r="T66" s="7">
        <f>+K17</f>
        <v>56575</v>
      </c>
    </row>
    <row r="67" spans="2:20">
      <c r="H67" s="23"/>
      <c r="I67" s="23"/>
      <c r="J67" s="23"/>
      <c r="Q67" s="9" t="s">
        <v>541</v>
      </c>
      <c r="R67" s="10">
        <f>+R66</f>
        <v>40973</v>
      </c>
      <c r="S67" s="10">
        <f>+S66</f>
        <v>49227</v>
      </c>
      <c r="T67" s="10">
        <f>+T66</f>
        <v>56575</v>
      </c>
    </row>
    <row r="68" spans="2:20">
      <c r="B68" s="3"/>
      <c r="H68" s="23"/>
      <c r="I68" s="23"/>
      <c r="J68" s="23"/>
    </row>
    <row r="69" spans="2:20">
      <c r="B69" s="6"/>
      <c r="Q69" s="9" t="s">
        <v>544</v>
      </c>
      <c r="R69" s="7">
        <f>+R65-R67</f>
        <v>-11446</v>
      </c>
      <c r="S69" s="7">
        <f>+S65-S67</f>
        <v>-22352</v>
      </c>
      <c r="T69" s="7">
        <f>+T65-T67</f>
        <v>-27048</v>
      </c>
    </row>
    <row r="70" spans="2:20">
      <c r="B70" s="6"/>
    </row>
    <row r="71" spans="2:20">
      <c r="B71" s="6"/>
      <c r="Q71" s="6" t="s">
        <v>612</v>
      </c>
    </row>
    <row r="72" spans="2:20">
      <c r="F72" s="7" t="s">
        <v>452</v>
      </c>
      <c r="H72" s="7" t="s">
        <v>453</v>
      </c>
      <c r="J72" s="7" t="s">
        <v>583</v>
      </c>
      <c r="Q72" s="6" t="s">
        <v>613</v>
      </c>
    </row>
    <row r="73" spans="2:20">
      <c r="B73" s="8" t="s">
        <v>610</v>
      </c>
      <c r="F73" s="7">
        <f>+F51/K5</f>
        <v>0.14362743621411572</v>
      </c>
      <c r="H73" s="7">
        <f>+H51/M5</f>
        <v>-0.1128050452426652</v>
      </c>
      <c r="J73" s="7">
        <f>+J51/O5</f>
        <v>-0.82687613444326213</v>
      </c>
      <c r="Q73" s="6" t="s">
        <v>614</v>
      </c>
    </row>
    <row r="74" spans="2:20">
      <c r="B74" s="3"/>
      <c r="Q74" s="6" t="s">
        <v>673</v>
      </c>
    </row>
    <row r="75" spans="2:20">
      <c r="B75" s="6"/>
      <c r="Q75" s="6"/>
    </row>
    <row r="76" spans="2:20">
      <c r="B76" s="3"/>
      <c r="Q76" s="6"/>
    </row>
    <row r="77" spans="2:20">
      <c r="B77" s="6"/>
      <c r="Q77" s="6"/>
    </row>
    <row r="78" spans="2:20">
      <c r="B78" s="6"/>
    </row>
    <row r="79" spans="2:20">
      <c r="B79" s="6"/>
    </row>
    <row r="80" spans="2:20">
      <c r="B80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91" spans="2:2">
      <c r="B91" s="9"/>
    </row>
    <row r="93" spans="2:2">
      <c r="B93" s="9"/>
    </row>
    <row r="95" spans="2:2">
      <c r="B95" s="9"/>
    </row>
    <row r="96" spans="2:2">
      <c r="B96" s="6"/>
    </row>
    <row r="97" spans="2:11">
      <c r="B97" s="9"/>
      <c r="F97" s="9"/>
      <c r="G97" s="1"/>
      <c r="J97" s="9"/>
    </row>
    <row r="98" spans="2:11">
      <c r="C98" s="7"/>
      <c r="G98" s="7"/>
      <c r="K98" s="7"/>
    </row>
    <row r="99" spans="2:11">
      <c r="B99" s="6"/>
      <c r="C99" s="7"/>
      <c r="F99" s="9"/>
      <c r="G99" s="7"/>
      <c r="J99" s="9"/>
      <c r="K99" s="7"/>
    </row>
    <row r="100" spans="2:11">
      <c r="C100" s="7"/>
      <c r="F100" s="6"/>
      <c r="G100" s="7"/>
      <c r="J100" s="6"/>
      <c r="K100" s="7"/>
    </row>
    <row r="101" spans="2:11">
      <c r="B101" s="9"/>
      <c r="C101" s="7"/>
      <c r="F101" s="9"/>
      <c r="G101" s="7"/>
      <c r="J101" s="9"/>
      <c r="K101" s="7"/>
    </row>
    <row r="102" spans="2:11">
      <c r="B102" s="9"/>
      <c r="C102" s="7"/>
      <c r="G102" s="7"/>
      <c r="K102" s="7"/>
    </row>
    <row r="103" spans="2:11">
      <c r="B103" s="6"/>
      <c r="C103" s="7"/>
      <c r="F103" s="6"/>
      <c r="G103" s="7"/>
      <c r="J103" s="6"/>
      <c r="K103" s="7"/>
    </row>
    <row r="104" spans="2:11">
      <c r="G104" s="1"/>
    </row>
    <row r="105" spans="2:11">
      <c r="C105" s="7"/>
      <c r="F105" s="9"/>
      <c r="G105" s="7"/>
      <c r="J105" s="9"/>
      <c r="K105" s="7"/>
    </row>
    <row r="106" spans="2:11">
      <c r="C106" s="7"/>
      <c r="F106" s="9"/>
      <c r="G106" s="7"/>
      <c r="J106" s="9"/>
      <c r="K106" s="7"/>
    </row>
    <row r="107" spans="2:11">
      <c r="B107" s="3"/>
      <c r="C107" s="7"/>
      <c r="F107" s="6"/>
      <c r="G107" s="7"/>
      <c r="J107" s="6"/>
      <c r="K107" s="7"/>
    </row>
    <row r="108" spans="2:11">
      <c r="B108" s="6"/>
      <c r="C108" s="10"/>
      <c r="D108" s="3"/>
      <c r="G108" s="10"/>
      <c r="K108" s="10"/>
    </row>
    <row r="109" spans="2:11">
      <c r="B109" s="6"/>
      <c r="D109" s="6"/>
    </row>
    <row r="111" spans="2:11">
      <c r="B111" s="9"/>
    </row>
    <row r="112" spans="2:11">
      <c r="B112" s="9"/>
    </row>
    <row r="113" spans="2:2">
      <c r="B113" s="9"/>
    </row>
  </sheetData>
  <mergeCells count="1">
    <mergeCell ref="D3:O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J47"/>
  <sheetViews>
    <sheetView topLeftCell="A13" workbookViewId="0">
      <selection activeCell="I42" sqref="I42"/>
    </sheetView>
  </sheetViews>
  <sheetFormatPr baseColWidth="10" defaultRowHeight="12"/>
  <cols>
    <col min="1" max="1" width="1.85546875" style="23" customWidth="1"/>
    <col min="2" max="2" width="11.42578125" style="23"/>
    <col min="3" max="3" width="22.28515625" style="23" bestFit="1" customWidth="1"/>
    <col min="4" max="5" width="11.42578125" style="23"/>
    <col min="6" max="6" width="12.7109375" style="23" bestFit="1" customWidth="1"/>
    <col min="7" max="7" width="13.140625" style="23" bestFit="1" customWidth="1"/>
    <col min="8" max="16384" width="11.42578125" style="23"/>
  </cols>
  <sheetData>
    <row r="3" spans="3:7">
      <c r="C3" s="10" t="s">
        <v>680</v>
      </c>
      <c r="D3" s="10" t="s">
        <v>681</v>
      </c>
      <c r="E3" s="10" t="s">
        <v>682</v>
      </c>
      <c r="F3" s="10" t="s">
        <v>683</v>
      </c>
      <c r="G3" s="10" t="s">
        <v>684</v>
      </c>
    </row>
    <row r="4" spans="3:7">
      <c r="C4" s="7" t="s">
        <v>685</v>
      </c>
      <c r="D4" s="7">
        <f>51297784/1000</f>
        <v>51297.784</v>
      </c>
      <c r="E4" s="7">
        <f>3742014/1000</f>
        <v>3742.0140000000001</v>
      </c>
      <c r="F4" s="7">
        <f>2336315/1000</f>
        <v>2336.3150000000001</v>
      </c>
      <c r="G4" s="7">
        <f>-265731/1000</f>
        <v>-265.73099999999999</v>
      </c>
    </row>
    <row r="5" spans="3:7">
      <c r="C5" s="7"/>
      <c r="D5" s="7"/>
      <c r="E5" s="7"/>
      <c r="F5" s="7"/>
      <c r="G5" s="7"/>
    </row>
    <row r="6" spans="3:7">
      <c r="C6" s="7" t="s">
        <v>686</v>
      </c>
      <c r="D6" s="7">
        <v>1.6708054822050189</v>
      </c>
      <c r="E6" s="7">
        <v>0.62957963087328028</v>
      </c>
      <c r="F6" s="7">
        <v>1.5655104743141381</v>
      </c>
      <c r="G6" s="7">
        <v>0.13</v>
      </c>
    </row>
    <row r="7" spans="3:7">
      <c r="C7" s="7" t="s">
        <v>687</v>
      </c>
      <c r="D7" s="7">
        <v>1.3214212570517005</v>
      </c>
      <c r="E7" s="7">
        <v>10.050690232989657</v>
      </c>
      <c r="F7" s="7">
        <v>1.3250651097677291</v>
      </c>
      <c r="G7" s="7">
        <v>1.55</v>
      </c>
    </row>
    <row r="8" spans="3:7">
      <c r="C8" s="7" t="s">
        <v>688</v>
      </c>
      <c r="D8" s="7">
        <f>0.3*100</f>
        <v>30</v>
      </c>
      <c r="E8" s="7">
        <f>0.0408826722804822*100</f>
        <v>4.0882672280482204</v>
      </c>
      <c r="F8" s="7">
        <f>0.18*100</f>
        <v>18</v>
      </c>
      <c r="G8" s="7">
        <f>-0.14*100</f>
        <v>-14.000000000000002</v>
      </c>
    </row>
    <row r="9" spans="3:7">
      <c r="C9" s="7" t="s">
        <v>689</v>
      </c>
      <c r="D9" s="7">
        <f>0.22*100</f>
        <v>22</v>
      </c>
      <c r="E9" s="7">
        <f>0.0516*100</f>
        <v>5.16</v>
      </c>
      <c r="F9" s="7">
        <f>0.07*100</f>
        <v>7.0000000000000009</v>
      </c>
      <c r="G9" s="7">
        <f>-0.04*100</f>
        <v>-4</v>
      </c>
    </row>
    <row r="10" spans="3:7">
      <c r="C10" s="7" t="s">
        <v>690</v>
      </c>
      <c r="D10" s="7">
        <f>0.3*100</f>
        <v>30</v>
      </c>
      <c r="E10" s="7">
        <f>0.27*100</f>
        <v>27</v>
      </c>
      <c r="F10" s="7">
        <f>0.19*100</f>
        <v>19</v>
      </c>
      <c r="G10" s="7">
        <f>-0.14*100</f>
        <v>-14.000000000000002</v>
      </c>
    </row>
    <row r="35" spans="3:10">
      <c r="C35" s="3" t="s">
        <v>691</v>
      </c>
      <c r="J35" s="3" t="s">
        <v>692</v>
      </c>
    </row>
    <row r="36" spans="3:10">
      <c r="C36" s="3" t="s">
        <v>693</v>
      </c>
      <c r="J36" s="3" t="s">
        <v>694</v>
      </c>
    </row>
    <row r="37" spans="3:10">
      <c r="C37" s="3" t="s">
        <v>695</v>
      </c>
      <c r="J37" s="3" t="s">
        <v>696</v>
      </c>
    </row>
    <row r="38" spans="3:10">
      <c r="C38" s="3" t="s">
        <v>697</v>
      </c>
      <c r="J38" s="3" t="s">
        <v>698</v>
      </c>
    </row>
    <row r="39" spans="3:10">
      <c r="C39" s="3" t="s">
        <v>699</v>
      </c>
      <c r="J39" s="2"/>
    </row>
    <row r="40" spans="3:10">
      <c r="C40" s="3" t="s">
        <v>700</v>
      </c>
      <c r="J40" s="2"/>
    </row>
    <row r="41" spans="3:10">
      <c r="C41" s="3" t="s">
        <v>701</v>
      </c>
      <c r="J41" s="2"/>
    </row>
    <row r="42" spans="3:10">
      <c r="C42" s="3" t="s">
        <v>704</v>
      </c>
      <c r="D42" s="263"/>
      <c r="E42" s="263"/>
      <c r="F42" s="263"/>
      <c r="J42" s="2"/>
    </row>
    <row r="43" spans="3:10">
      <c r="C43" s="3" t="s">
        <v>702</v>
      </c>
      <c r="D43" s="263"/>
      <c r="E43" s="263"/>
      <c r="F43" s="263"/>
      <c r="J43" s="2"/>
    </row>
    <row r="44" spans="3:10">
      <c r="C44" s="3"/>
      <c r="J44" s="2"/>
    </row>
    <row r="45" spans="3:10">
      <c r="C45" s="3" t="s">
        <v>703</v>
      </c>
      <c r="J45" s="2"/>
    </row>
    <row r="46" spans="3:10">
      <c r="J46" s="2"/>
    </row>
    <row r="47" spans="3:10">
      <c r="C47" s="3"/>
      <c r="J47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G10"/>
  <sheetViews>
    <sheetView workbookViewId="0">
      <selection activeCell="J29" sqref="J29"/>
    </sheetView>
  </sheetViews>
  <sheetFormatPr baseColWidth="10" defaultRowHeight="12"/>
  <cols>
    <col min="1" max="1" width="2.28515625" style="1" customWidth="1"/>
    <col min="2" max="2" width="11.42578125" style="1"/>
    <col min="3" max="3" width="22.28515625" style="1" bestFit="1" customWidth="1"/>
    <col min="4" max="5" width="11.42578125" style="1"/>
    <col min="6" max="6" width="12" style="1" bestFit="1" customWidth="1"/>
    <col min="7" max="16384" width="11.42578125" style="1"/>
  </cols>
  <sheetData>
    <row r="3" spans="3:7">
      <c r="C3" s="264" t="s">
        <v>680</v>
      </c>
      <c r="D3" s="265" t="s">
        <v>705</v>
      </c>
      <c r="E3" s="265" t="s">
        <v>706</v>
      </c>
      <c r="F3" s="266" t="s">
        <v>707</v>
      </c>
      <c r="G3" s="10"/>
    </row>
    <row r="4" spans="3:7">
      <c r="C4" s="241" t="s">
        <v>685</v>
      </c>
      <c r="D4" s="155">
        <v>-9184</v>
      </c>
      <c r="E4" s="155">
        <v>46657</v>
      </c>
      <c r="F4" s="217">
        <v>-66000945</v>
      </c>
      <c r="G4" s="7"/>
    </row>
    <row r="5" spans="3:7">
      <c r="C5" s="241"/>
      <c r="D5" s="155"/>
      <c r="E5" s="155"/>
      <c r="F5" s="217"/>
      <c r="G5" s="7"/>
    </row>
    <row r="6" spans="3:7">
      <c r="C6" s="241" t="s">
        <v>686</v>
      </c>
      <c r="D6" s="155">
        <v>0.81</v>
      </c>
      <c r="E6" s="155">
        <v>2.31</v>
      </c>
      <c r="F6" s="217">
        <v>0.54</v>
      </c>
      <c r="G6" s="7"/>
    </row>
    <row r="7" spans="3:7">
      <c r="C7" s="241" t="s">
        <v>687</v>
      </c>
      <c r="D7" s="155">
        <v>1.91</v>
      </c>
      <c r="E7" s="155">
        <v>8.65</v>
      </c>
      <c r="F7" s="217" t="s">
        <v>708</v>
      </c>
      <c r="G7" s="23"/>
    </row>
    <row r="8" spans="3:7">
      <c r="C8" s="241" t="s">
        <v>688</v>
      </c>
      <c r="D8" s="155">
        <f>0.05*100</f>
        <v>5</v>
      </c>
      <c r="E8" s="155">
        <f>0.15*100</f>
        <v>15</v>
      </c>
      <c r="F8" s="217">
        <f>0.02*100</f>
        <v>2</v>
      </c>
      <c r="G8" s="7"/>
    </row>
    <row r="9" spans="3:7">
      <c r="C9" s="241" t="s">
        <v>689</v>
      </c>
      <c r="D9" s="155">
        <f>0.12*100</f>
        <v>12</v>
      </c>
      <c r="E9" s="155">
        <f>0.1*100</f>
        <v>10</v>
      </c>
      <c r="F9" s="217">
        <f>0.03*100</f>
        <v>3</v>
      </c>
      <c r="G9" s="7"/>
    </row>
    <row r="10" spans="3:7">
      <c r="C10" s="267" t="s">
        <v>690</v>
      </c>
      <c r="D10" s="268">
        <f>0.14*100</f>
        <v>14.000000000000002</v>
      </c>
      <c r="E10" s="268">
        <f>0.69*100</f>
        <v>69</v>
      </c>
      <c r="F10" s="219" t="s">
        <v>708</v>
      </c>
      <c r="G1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Sixt</vt:lpstr>
      <vt:lpstr>Hiper Rent</vt:lpstr>
      <vt:lpstr>Autos Veny</vt:lpstr>
      <vt:lpstr>Autoclick</vt:lpstr>
      <vt:lpstr>Avis</vt:lpstr>
      <vt:lpstr>Hertz</vt:lpstr>
      <vt:lpstr>Eropcar</vt:lpstr>
      <vt:lpstr>resumen</vt:lpstr>
      <vt:lpstr>resumen2</vt:lpstr>
      <vt:lpstr>Pagos iniciales</vt:lpstr>
      <vt:lpstr>fuentes de financiacion</vt:lpstr>
      <vt:lpstr>tabla financiera </vt:lpstr>
      <vt:lpstr>tabla contable</vt:lpstr>
      <vt:lpstr>Inflación</vt:lpstr>
      <vt:lpstr>Gastos</vt:lpstr>
      <vt:lpstr>neutral hipótesis</vt:lpstr>
      <vt:lpstr>neutral valoracion</vt:lpstr>
      <vt:lpstr>negativo hipótesis</vt:lpstr>
      <vt:lpstr>negativo valoracion</vt:lpstr>
      <vt:lpstr>positivo hipótesis</vt:lpstr>
      <vt:lpstr>positivo valoracion</vt:lpstr>
      <vt:lpstr>VAN ajustado riesgo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2017-05-14T18:55:54Z</cp:lastPrinted>
  <dcterms:created xsi:type="dcterms:W3CDTF">2017-04-11T18:32:40Z</dcterms:created>
  <dcterms:modified xsi:type="dcterms:W3CDTF">2017-06-29T13:56:36Z</dcterms:modified>
</cp:coreProperties>
</file>