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STER_Ing energ sost\TFM\"/>
    </mc:Choice>
  </mc:AlternateContent>
  <xr:revisionPtr revIDLastSave="0" documentId="13_ncr:1_{E89A9F1C-4487-40AB-9065-7CC02539B4C5}" xr6:coauthVersionLast="47" xr6:coauthVersionMax="47" xr10:uidLastSave="{00000000-0000-0000-0000-000000000000}"/>
  <bookViews>
    <workbookView xWindow="11304" yWindow="0" windowWidth="11736" windowHeight="12360" xr2:uid="{47B5733D-B25E-43A0-AB28-82EE484DB5A0}"/>
  </bookViews>
  <sheets>
    <sheet name="Aerogenerador" sheetId="1" r:id="rId1"/>
    <sheet name="Rentabilida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7" i="2"/>
  <c r="I6" i="2"/>
  <c r="H6" i="2"/>
  <c r="H5" i="2"/>
  <c r="G4" i="2"/>
  <c r="C11" i="2"/>
  <c r="C24" i="2" l="1"/>
  <c r="J5" i="2"/>
  <c r="K5" i="2" s="1"/>
  <c r="G11" i="2"/>
  <c r="H3" i="2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C21" i="2"/>
  <c r="C22" i="2" s="1"/>
  <c r="C20" i="2"/>
  <c r="G8" i="2" l="1"/>
  <c r="G7" i="2"/>
  <c r="H7" i="2"/>
  <c r="L5" i="2"/>
  <c r="H8" i="2" l="1"/>
  <c r="J6" i="2"/>
  <c r="M5" i="2"/>
  <c r="I8" i="2" l="1"/>
  <c r="K6" i="2"/>
  <c r="J7" i="2"/>
  <c r="N5" i="2"/>
  <c r="J8" i="2" l="1"/>
  <c r="L6" i="2"/>
  <c r="K7" i="2"/>
  <c r="K8" i="2" s="1"/>
  <c r="O5" i="2"/>
  <c r="M6" i="2" l="1"/>
  <c r="L7" i="2"/>
  <c r="L8" i="2" s="1"/>
  <c r="P5" i="2"/>
  <c r="N6" i="2" l="1"/>
  <c r="M7" i="2"/>
  <c r="M8" i="2" s="1"/>
  <c r="Q5" i="2"/>
  <c r="O6" i="2" l="1"/>
  <c r="N7" i="2"/>
  <c r="N8" i="2" s="1"/>
  <c r="R5" i="2"/>
  <c r="P6" i="2" l="1"/>
  <c r="O7" i="2"/>
  <c r="O8" i="2" s="1"/>
  <c r="S5" i="2"/>
  <c r="Q6" i="2" l="1"/>
  <c r="P7" i="2"/>
  <c r="P8" i="2" s="1"/>
  <c r="T5" i="2"/>
  <c r="R6" i="2" l="1"/>
  <c r="Q7" i="2"/>
  <c r="Q8" i="2" s="1"/>
  <c r="U5" i="2"/>
  <c r="S6" i="2" l="1"/>
  <c r="R7" i="2"/>
  <c r="R8" i="2" s="1"/>
  <c r="V5" i="2"/>
  <c r="T6" i="2" l="1"/>
  <c r="S7" i="2"/>
  <c r="S8" i="2" s="1"/>
  <c r="W5" i="2"/>
  <c r="U6" i="2" l="1"/>
  <c r="T7" i="2"/>
  <c r="T8" i="2" s="1"/>
  <c r="X5" i="2"/>
  <c r="V6" i="2" l="1"/>
  <c r="U7" i="2"/>
  <c r="U8" i="2" s="1"/>
  <c r="Y5" i="2"/>
  <c r="W6" i="2" l="1"/>
  <c r="V7" i="2"/>
  <c r="V8" i="2" s="1"/>
  <c r="Z5" i="2"/>
  <c r="X6" i="2" l="1"/>
  <c r="W7" i="2"/>
  <c r="W8" i="2" s="1"/>
  <c r="AA5" i="2"/>
  <c r="Y6" i="2" l="1"/>
  <c r="X7" i="2"/>
  <c r="X8" i="2" s="1"/>
  <c r="AB5" i="2"/>
  <c r="Z6" i="2" l="1"/>
  <c r="Y7" i="2"/>
  <c r="Y8" i="2" s="1"/>
  <c r="AC5" i="2"/>
  <c r="AA6" i="2" l="1"/>
  <c r="Z7" i="2"/>
  <c r="Z8" i="2" s="1"/>
  <c r="AD5" i="2"/>
  <c r="AB6" i="2" l="1"/>
  <c r="AA7" i="2"/>
  <c r="AA8" i="2" s="1"/>
  <c r="AE5" i="2"/>
  <c r="AC6" i="2" l="1"/>
  <c r="AB7" i="2"/>
  <c r="AB8" i="2" s="1"/>
  <c r="AF5" i="2"/>
  <c r="AG5" i="2" s="1"/>
  <c r="AD6" i="2" l="1"/>
  <c r="AC7" i="2"/>
  <c r="AC8" i="2" s="1"/>
  <c r="AE6" i="2" l="1"/>
  <c r="AD7" i="2"/>
  <c r="AD8" i="2" s="1"/>
  <c r="AF6" i="2" l="1"/>
  <c r="AE7" i="2"/>
  <c r="AE8" i="2" s="1"/>
  <c r="AF7" i="2" l="1"/>
  <c r="AF8" i="2" s="1"/>
  <c r="AG6" i="2"/>
  <c r="G13" i="2" s="1"/>
  <c r="G14" i="2" s="1"/>
  <c r="G12" i="2"/>
  <c r="P6" i="1" l="1"/>
  <c r="C36" i="1"/>
  <c r="O6" i="1"/>
  <c r="D7" i="1" s="1"/>
  <c r="D10" i="1"/>
  <c r="O7" i="1"/>
  <c r="O8" i="1"/>
  <c r="P8" i="1" s="1"/>
  <c r="H9" i="1" s="1"/>
  <c r="O9" i="1"/>
  <c r="P9" i="1" s="1"/>
  <c r="F10" i="1" s="1"/>
  <c r="O10" i="1"/>
  <c r="P10" i="1" s="1"/>
  <c r="D11" i="1" s="1"/>
  <c r="O11" i="1"/>
  <c r="P11" i="1" s="1"/>
  <c r="D12" i="1" s="1"/>
  <c r="O12" i="1"/>
  <c r="P12" i="1" s="1"/>
  <c r="H13" i="1" s="1"/>
  <c r="O13" i="1"/>
  <c r="P13" i="1" s="1"/>
  <c r="F14" i="1" s="1"/>
  <c r="O14" i="1"/>
  <c r="P14" i="1" s="1"/>
  <c r="D15" i="1" s="1"/>
  <c r="O15" i="1"/>
  <c r="P15" i="1" s="1"/>
  <c r="D16" i="1" s="1"/>
  <c r="O16" i="1"/>
  <c r="P16" i="1" s="1"/>
  <c r="H17" i="1" s="1"/>
  <c r="O17" i="1"/>
  <c r="P17" i="1" s="1"/>
  <c r="F18" i="1" s="1"/>
  <c r="O18" i="1"/>
  <c r="P18" i="1" s="1"/>
  <c r="D19" i="1" s="1"/>
  <c r="O19" i="1"/>
  <c r="P19" i="1" s="1"/>
  <c r="D20" i="1" s="1"/>
  <c r="O20" i="1"/>
  <c r="P20" i="1" s="1"/>
  <c r="H21" i="1" s="1"/>
  <c r="O21" i="1"/>
  <c r="P21" i="1" s="1"/>
  <c r="F22" i="1" s="1"/>
  <c r="O22" i="1"/>
  <c r="P22" i="1" s="1"/>
  <c r="D23" i="1" s="1"/>
  <c r="O23" i="1"/>
  <c r="P23" i="1" s="1"/>
  <c r="D24" i="1" s="1"/>
  <c r="O24" i="1"/>
  <c r="P24" i="1" s="1"/>
  <c r="H25" i="1" s="1"/>
  <c r="O25" i="1"/>
  <c r="P25" i="1" s="1"/>
  <c r="F26" i="1" s="1"/>
  <c r="O26" i="1"/>
  <c r="P26" i="1" s="1"/>
  <c r="D27" i="1" s="1"/>
  <c r="O27" i="1"/>
  <c r="P27" i="1" s="1"/>
  <c r="D28" i="1" s="1"/>
  <c r="O28" i="1"/>
  <c r="P28" i="1" s="1"/>
  <c r="H29" i="1" s="1"/>
  <c r="B29" i="1"/>
  <c r="B11" i="1"/>
  <c r="B10" i="1"/>
  <c r="B9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8" i="1"/>
  <c r="B7" i="1"/>
  <c r="D18" i="1" l="1"/>
  <c r="F25" i="1"/>
  <c r="F9" i="1"/>
  <c r="H16" i="1"/>
  <c r="D14" i="1"/>
  <c r="F21" i="1"/>
  <c r="H28" i="1"/>
  <c r="H12" i="1"/>
  <c r="D26" i="1"/>
  <c r="F17" i="1"/>
  <c r="H24" i="1"/>
  <c r="D22" i="1"/>
  <c r="F29" i="1"/>
  <c r="F13" i="1"/>
  <c r="H20" i="1"/>
  <c r="O29" i="1"/>
  <c r="P29" i="1" s="1"/>
  <c r="D29" i="1"/>
  <c r="D25" i="1"/>
  <c r="D21" i="1"/>
  <c r="D17" i="1"/>
  <c r="D13" i="1"/>
  <c r="D9" i="1"/>
  <c r="F28" i="1"/>
  <c r="F24" i="1"/>
  <c r="F20" i="1"/>
  <c r="F16" i="1"/>
  <c r="F12" i="1"/>
  <c r="H27" i="1"/>
  <c r="H23" i="1"/>
  <c r="H19" i="1"/>
  <c r="H15" i="1"/>
  <c r="H11" i="1"/>
  <c r="F27" i="1"/>
  <c r="F23" i="1"/>
  <c r="F19" i="1"/>
  <c r="F15" i="1"/>
  <c r="F11" i="1"/>
  <c r="H26" i="1"/>
  <c r="H22" i="1"/>
  <c r="H18" i="1"/>
  <c r="H14" i="1"/>
  <c r="H10" i="1"/>
  <c r="O30" i="1"/>
  <c r="P30" i="1" s="1"/>
  <c r="P7" i="1"/>
  <c r="F7" i="1" l="1"/>
  <c r="H7" i="1"/>
  <c r="H8" i="1"/>
  <c r="D8" i="1"/>
  <c r="C30" i="1" s="1"/>
  <c r="C31" i="1" s="1"/>
  <c r="C32" i="1" s="1"/>
  <c r="F8" i="1"/>
  <c r="G30" i="1" l="1"/>
  <c r="G31" i="1" s="1"/>
  <c r="G32" i="1" s="1"/>
  <c r="E30" i="1"/>
  <c r="E31" i="1" s="1"/>
  <c r="E32" i="1" s="1"/>
</calcChain>
</file>

<file path=xl/sharedStrings.xml><?xml version="1.0" encoding="utf-8"?>
<sst xmlns="http://schemas.openxmlformats.org/spreadsheetml/2006/main" count="58" uniqueCount="52">
  <si>
    <t>SG 8.0 - 167 DD</t>
  </si>
  <si>
    <t>G 128/5000</t>
  </si>
  <si>
    <t>V 164/9500</t>
  </si>
  <si>
    <t>V1 (m/s)</t>
  </si>
  <si>
    <t>V2 (m/s)</t>
  </si>
  <si>
    <t>Probabilidad</t>
  </si>
  <si>
    <t>Horas durante el año</t>
  </si>
  <si>
    <t>infinito</t>
  </si>
  <si>
    <t>Total</t>
  </si>
  <si>
    <t>Potencia (kW)</t>
  </si>
  <si>
    <t>DISTRIBUCIÓN WEIBULL</t>
  </si>
  <si>
    <t>P(v1&lt;v&lt;v2) = e-(v1/c)^k - e-(v2/c)^k</t>
  </si>
  <si>
    <t>Distribución Weibull</t>
  </si>
  <si>
    <t>c</t>
  </si>
  <si>
    <t>k</t>
  </si>
  <si>
    <t>C.F.</t>
  </si>
  <si>
    <t>Producción de energía anual AEP (real) (kWh)</t>
  </si>
  <si>
    <t>Producción de energía anual (ideal) (kWh)</t>
  </si>
  <si>
    <t>Energía anual (kWh)</t>
  </si>
  <si>
    <t>Pérdidas (5%)</t>
  </si>
  <si>
    <t>SELECCIÓN DEL AEROGENERADOR</t>
  </si>
  <si>
    <t>Vida útil (n)</t>
  </si>
  <si>
    <t>Tasa de descuento (r)</t>
  </si>
  <si>
    <t>Potencia (MW)</t>
  </si>
  <si>
    <t>Nº aerogenerador</t>
  </si>
  <si>
    <t>Potencia total (MW)</t>
  </si>
  <si>
    <t>DATOS</t>
  </si>
  <si>
    <t>AEROGENERADOR: G 128/5000</t>
  </si>
  <si>
    <t>Ereal (MWh)</t>
  </si>
  <si>
    <t>€/MWh</t>
  </si>
  <si>
    <t>Ingresos (€)</t>
  </si>
  <si>
    <t>Inversión inicial (€)</t>
  </si>
  <si>
    <t>Coste de desmantelamiento (€)</t>
  </si>
  <si>
    <t>Coste de operación y mantenimiento (€)</t>
  </si>
  <si>
    <t>Coste de construcción (€)</t>
  </si>
  <si>
    <t>Año</t>
  </si>
  <si>
    <t>Inversión (€)</t>
  </si>
  <si>
    <t>Mantenimiento y operación (€)</t>
  </si>
  <si>
    <t>Cash Flow</t>
  </si>
  <si>
    <t>Calculo de payback</t>
  </si>
  <si>
    <t>VAN</t>
  </si>
  <si>
    <t>TIR</t>
  </si>
  <si>
    <t>Aumento de los ingresos (%)</t>
  </si>
  <si>
    <t>Inflación (%)</t>
  </si>
  <si>
    <t>WACC (Tasa de descuento)</t>
  </si>
  <si>
    <t>TOTAL</t>
  </si>
  <si>
    <t>LCOE (€/MWh)</t>
  </si>
  <si>
    <t>LCOE (€/KWh)</t>
  </si>
  <si>
    <t>Energía final (MWh)</t>
  </si>
  <si>
    <t>Otros costes (€)</t>
  </si>
  <si>
    <t>Coste permisos y licencias (€)</t>
  </si>
  <si>
    <t>OMIE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</si>
</sst>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3D297"/>
        <bgColor rgb="FF63D297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3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0" fillId="0" borderId="5" xfId="0" applyBorder="1"/>
    <xf numFmtId="0" fontId="1" fillId="7" borderId="15" xfId="0" applyFont="1" applyFill="1" applyBorder="1"/>
    <xf numFmtId="0" fontId="1" fillId="7" borderId="17" xfId="0" applyFont="1" applyFill="1" applyBorder="1"/>
    <xf numFmtId="0" fontId="1" fillId="0" borderId="2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0" fillId="0" borderId="31" xfId="0" applyBorder="1"/>
    <xf numFmtId="3" fontId="0" fillId="0" borderId="0" xfId="0" applyNumberFormat="1"/>
    <xf numFmtId="3" fontId="0" fillId="0" borderId="4" xfId="0" applyNumberFormat="1" applyBorder="1"/>
    <xf numFmtId="0" fontId="0" fillId="0" borderId="4" xfId="0" applyBorder="1"/>
    <xf numFmtId="0" fontId="0" fillId="0" borderId="32" xfId="0" applyBorder="1"/>
    <xf numFmtId="0" fontId="3" fillId="0" borderId="0" xfId="0" applyFont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0" fontId="0" fillId="0" borderId="3" xfId="0" applyBorder="1"/>
    <xf numFmtId="0" fontId="0" fillId="0" borderId="33" xfId="0" applyBorder="1"/>
    <xf numFmtId="0" fontId="2" fillId="0" borderId="3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9" borderId="15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2" fontId="0" fillId="10" borderId="2" xfId="0" applyNumberFormat="1" applyFill="1" applyBorder="1"/>
    <xf numFmtId="0" fontId="0" fillId="10" borderId="4" xfId="0" applyFill="1" applyBorder="1"/>
    <xf numFmtId="2" fontId="0" fillId="10" borderId="4" xfId="0" applyNumberFormat="1" applyFill="1" applyBorder="1"/>
    <xf numFmtId="2" fontId="0" fillId="10" borderId="5" xfId="0" applyNumberFormat="1" applyFill="1" applyBorder="1"/>
    <xf numFmtId="10" fontId="0" fillId="0" borderId="4" xfId="0" applyNumberForma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Aerogenerador!$C$5</c:f>
              <c:strCache>
                <c:ptCount val="1"/>
                <c:pt idx="0">
                  <c:v>SG 8.0 - 167 DD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Aerogenerador!$C$7:$C$29</c:f>
              <c:numCache>
                <c:formatCode>General</c:formatCode>
                <c:ptCount val="23"/>
                <c:pt idx="0">
                  <c:v>0</c:v>
                </c:pt>
                <c:pt idx="1">
                  <c:v>48</c:v>
                </c:pt>
                <c:pt idx="2">
                  <c:v>350</c:v>
                </c:pt>
                <c:pt idx="3">
                  <c:v>930</c:v>
                </c:pt>
                <c:pt idx="4">
                  <c:v>1737</c:v>
                </c:pt>
                <c:pt idx="5">
                  <c:v>2730</c:v>
                </c:pt>
                <c:pt idx="6">
                  <c:v>3980</c:v>
                </c:pt>
                <c:pt idx="7">
                  <c:v>5400</c:v>
                </c:pt>
                <c:pt idx="8">
                  <c:v>6690</c:v>
                </c:pt>
                <c:pt idx="9">
                  <c:v>7570</c:v>
                </c:pt>
                <c:pt idx="10">
                  <c:v>7895</c:v>
                </c:pt>
                <c:pt idx="11">
                  <c:v>7990</c:v>
                </c:pt>
                <c:pt idx="12">
                  <c:v>8000</c:v>
                </c:pt>
                <c:pt idx="13">
                  <c:v>8000</c:v>
                </c:pt>
                <c:pt idx="14">
                  <c:v>8000</c:v>
                </c:pt>
                <c:pt idx="15">
                  <c:v>8000</c:v>
                </c:pt>
                <c:pt idx="16">
                  <c:v>8000</c:v>
                </c:pt>
                <c:pt idx="17">
                  <c:v>8000</c:v>
                </c:pt>
                <c:pt idx="18">
                  <c:v>8000</c:v>
                </c:pt>
                <c:pt idx="19">
                  <c:v>8000</c:v>
                </c:pt>
                <c:pt idx="20">
                  <c:v>8000</c:v>
                </c:pt>
                <c:pt idx="21">
                  <c:v>8000</c:v>
                </c:pt>
                <c:pt idx="22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E-4869-9541-F3050034B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797480"/>
        <c:axId val="574800360"/>
      </c:barChart>
      <c:catAx>
        <c:axId val="574797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Velocidad del viento</a:t>
                </a:r>
                <a:r>
                  <a:rPr lang="es-ES" baseline="0"/>
                  <a:t> (m/s)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800360"/>
        <c:crosses val="autoZero"/>
        <c:auto val="1"/>
        <c:lblAlgn val="ctr"/>
        <c:lblOffset val="100"/>
        <c:noMultiLvlLbl val="0"/>
      </c:catAx>
      <c:valAx>
        <c:axId val="57480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Potencia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479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Aerogenerador!$E$5</c:f>
              <c:strCache>
                <c:ptCount val="1"/>
                <c:pt idx="0">
                  <c:v>G 128/5000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Aerogenerador!$E$7:$E$29</c:f>
              <c:numCache>
                <c:formatCode>0</c:formatCode>
                <c:ptCount val="23"/>
                <c:pt idx="0">
                  <c:v>0</c:v>
                </c:pt>
                <c:pt idx="1">
                  <c:v>230</c:v>
                </c:pt>
                <c:pt idx="2">
                  <c:v>450</c:v>
                </c:pt>
                <c:pt idx="3">
                  <c:v>760</c:v>
                </c:pt>
                <c:pt idx="4">
                  <c:v>1250</c:v>
                </c:pt>
                <c:pt idx="5">
                  <c:v>1930</c:v>
                </c:pt>
                <c:pt idx="6">
                  <c:v>2723</c:v>
                </c:pt>
                <c:pt idx="7">
                  <c:v>3465</c:v>
                </c:pt>
                <c:pt idx="8">
                  <c:v>4130</c:v>
                </c:pt>
                <c:pt idx="9">
                  <c:v>4600</c:v>
                </c:pt>
                <c:pt idx="10">
                  <c:v>4850</c:v>
                </c:pt>
                <c:pt idx="11">
                  <c:v>4940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  <c:pt idx="15">
                  <c:v>4992</c:v>
                </c:pt>
                <c:pt idx="16">
                  <c:v>4916</c:v>
                </c:pt>
                <c:pt idx="17">
                  <c:v>4802</c:v>
                </c:pt>
                <c:pt idx="18">
                  <c:v>4700</c:v>
                </c:pt>
                <c:pt idx="19">
                  <c:v>4545</c:v>
                </c:pt>
                <c:pt idx="20">
                  <c:v>4310</c:v>
                </c:pt>
                <c:pt idx="21">
                  <c:v>4097</c:v>
                </c:pt>
                <c:pt idx="22">
                  <c:v>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C-4190-AD29-E06744107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193240"/>
        <c:axId val="625191080"/>
      </c:barChart>
      <c:catAx>
        <c:axId val="625193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Velocidad del viento</a:t>
                </a:r>
                <a:r>
                  <a:rPr lang="es-ES" baseline="0"/>
                  <a:t> (m/s)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191080"/>
        <c:crosses val="autoZero"/>
        <c:auto val="1"/>
        <c:lblAlgn val="ctr"/>
        <c:lblOffset val="100"/>
        <c:noMultiLvlLbl val="0"/>
      </c:catAx>
      <c:valAx>
        <c:axId val="62519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Potencia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519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Aerogenerador!$G$5</c:f>
              <c:strCache>
                <c:ptCount val="1"/>
                <c:pt idx="0">
                  <c:v>V 164/9500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Aerogenerador!$G$7:$G$29</c:f>
              <c:numCache>
                <c:formatCode>0</c:formatCode>
                <c:ptCount val="23"/>
                <c:pt idx="0">
                  <c:v>0</c:v>
                </c:pt>
                <c:pt idx="1">
                  <c:v>115</c:v>
                </c:pt>
                <c:pt idx="2">
                  <c:v>430</c:v>
                </c:pt>
                <c:pt idx="3">
                  <c:v>900</c:v>
                </c:pt>
                <c:pt idx="4">
                  <c:v>1600</c:v>
                </c:pt>
                <c:pt idx="5">
                  <c:v>2570</c:v>
                </c:pt>
                <c:pt idx="6">
                  <c:v>3784</c:v>
                </c:pt>
                <c:pt idx="7">
                  <c:v>5170</c:v>
                </c:pt>
                <c:pt idx="8">
                  <c:v>6600</c:v>
                </c:pt>
                <c:pt idx="9">
                  <c:v>7960</c:v>
                </c:pt>
                <c:pt idx="10">
                  <c:v>9080</c:v>
                </c:pt>
                <c:pt idx="11">
                  <c:v>9410</c:v>
                </c:pt>
                <c:pt idx="12">
                  <c:v>9500</c:v>
                </c:pt>
                <c:pt idx="13">
                  <c:v>9500</c:v>
                </c:pt>
                <c:pt idx="14">
                  <c:v>9500</c:v>
                </c:pt>
                <c:pt idx="15">
                  <c:v>9500</c:v>
                </c:pt>
                <c:pt idx="16">
                  <c:v>9500</c:v>
                </c:pt>
                <c:pt idx="17">
                  <c:v>9500</c:v>
                </c:pt>
                <c:pt idx="18">
                  <c:v>9500</c:v>
                </c:pt>
                <c:pt idx="19">
                  <c:v>9500</c:v>
                </c:pt>
                <c:pt idx="20">
                  <c:v>9500</c:v>
                </c:pt>
                <c:pt idx="21">
                  <c:v>9500</c:v>
                </c:pt>
                <c:pt idx="22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E-4342-8348-8DFCE5195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9032056"/>
        <c:axId val="389391304"/>
      </c:barChart>
      <c:catAx>
        <c:axId val="499032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Velocidad del viento 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9391304"/>
        <c:crosses val="autoZero"/>
        <c:auto val="1"/>
        <c:lblAlgn val="ctr"/>
        <c:lblOffset val="100"/>
        <c:noMultiLvlLbl val="0"/>
      </c:catAx>
      <c:valAx>
        <c:axId val="389391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Potencia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9032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76970</xdr:colOff>
      <xdr:row>38</xdr:row>
      <xdr:rowOff>133042</xdr:rowOff>
    </xdr:from>
    <xdr:to>
      <xdr:col>2</xdr:col>
      <xdr:colOff>581891</xdr:colOff>
      <xdr:row>52</xdr:row>
      <xdr:rowOff>153939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50D792-795C-6B7D-E7A2-1EE8701612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594823</xdr:colOff>
      <xdr:row>38</xdr:row>
      <xdr:rowOff>133041</xdr:rowOff>
    </xdr:from>
    <xdr:to>
      <xdr:col>5</xdr:col>
      <xdr:colOff>1399310</xdr:colOff>
      <xdr:row>52</xdr:row>
      <xdr:rowOff>153938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D768E9B-B83E-B117-83B8-44CF54863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1702955</xdr:colOff>
      <xdr:row>52</xdr:row>
      <xdr:rowOff>171527</xdr:rowOff>
    </xdr:from>
    <xdr:to>
      <xdr:col>4</xdr:col>
      <xdr:colOff>304800</xdr:colOff>
      <xdr:row>67</xdr:row>
      <xdr:rowOff>84667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5029CE5-1C94-C1AC-4EF8-9A1A2AB444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17</xdr:col>
      <xdr:colOff>53340</xdr:colOff>
      <xdr:row>8</xdr:row>
      <xdr:rowOff>38101</xdr:rowOff>
    </xdr:from>
    <xdr:to>
      <xdr:col>18</xdr:col>
      <xdr:colOff>595862</xdr:colOff>
      <xdr:row>20</xdr:row>
      <xdr:rowOff>48492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69AAA85-00A8-A6F9-77B8-EAC8B8768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19760" y="1501141"/>
          <a:ext cx="2864545" cy="2232660"/>
        </a:xfrm>
        <a:prstGeom prst="rect">
          <a:avLst/>
        </a:prstGeom>
      </xdr:spPr>
    </xdr:pic>
    <xdr:clientData/>
  </xdr:twoCellAnchor>
  <xdr:twoCellAnchor editAs="oneCell">
    <xdr:from>
      <xdr:col>1</xdr:col>
      <xdr:colOff>46182</xdr:colOff>
      <xdr:row>32</xdr:row>
      <xdr:rowOff>53495</xdr:rowOff>
    </xdr:from>
    <xdr:to>
      <xdr:col>1</xdr:col>
      <xdr:colOff>2044314</xdr:colOff>
      <xdr:row>34</xdr:row>
      <xdr:rowOff>156945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8B990262-67FC-847A-B60D-832A1B53D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4364" y="5964768"/>
          <a:ext cx="1998132" cy="472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E211-EC8F-43FE-BEDE-9622FAC40970}">
  <dimension ref="B2:U36"/>
  <sheetViews>
    <sheetView tabSelected="1" zoomScale="48" workbookViewId="0">
      <selection activeCell="E5" sqref="E5:F5"/>
    </sheetView>
  </sheetViews>
  <sheetFormatPr baseColWidth="10" defaultRowHeight="14.4" x14ac:dyDescent="0.3"/>
  <cols>
    <col min="1" max="1" width="11.77734375" customWidth="1"/>
    <col min="2" max="2" width="53.88671875" bestFit="1" customWidth="1"/>
    <col min="3" max="3" width="17.21875" bestFit="1" customWidth="1"/>
    <col min="4" max="4" width="24.109375" bestFit="1" customWidth="1"/>
    <col min="5" max="5" width="17.6640625" bestFit="1" customWidth="1"/>
    <col min="6" max="6" width="24.109375" bestFit="1" customWidth="1"/>
    <col min="7" max="7" width="17.6640625" bestFit="1" customWidth="1"/>
    <col min="8" max="8" width="24.109375" bestFit="1" customWidth="1"/>
    <col min="15" max="15" width="18.109375" bestFit="1" customWidth="1"/>
    <col min="16" max="16" width="25" bestFit="1" customWidth="1"/>
    <col min="18" max="18" width="33.6640625" bestFit="1" customWidth="1"/>
  </cols>
  <sheetData>
    <row r="2" spans="2:21" ht="15" thickBot="1" x14ac:dyDescent="0.35"/>
    <row r="3" spans="2:21" ht="15" thickBot="1" x14ac:dyDescent="0.35">
      <c r="B3" s="54" t="s">
        <v>20</v>
      </c>
      <c r="C3" s="55"/>
      <c r="D3" s="55"/>
      <c r="E3" s="55"/>
      <c r="F3" s="55"/>
      <c r="G3" s="55"/>
      <c r="H3" s="56"/>
      <c r="M3" s="57" t="s">
        <v>10</v>
      </c>
      <c r="N3" s="58"/>
      <c r="O3" s="58"/>
      <c r="P3" s="59"/>
    </row>
    <row r="4" spans="2:21" ht="15" thickBot="1" x14ac:dyDescent="0.35"/>
    <row r="5" spans="2:21" ht="15" thickBot="1" x14ac:dyDescent="0.35">
      <c r="C5" s="69" t="s">
        <v>0</v>
      </c>
      <c r="D5" s="70"/>
      <c r="E5" s="71" t="s">
        <v>1</v>
      </c>
      <c r="F5" s="70"/>
      <c r="G5" s="72" t="s">
        <v>2</v>
      </c>
      <c r="H5" s="73"/>
      <c r="M5" s="19" t="s">
        <v>3</v>
      </c>
      <c r="N5" s="20" t="s">
        <v>4</v>
      </c>
      <c r="O5" s="20" t="s">
        <v>5</v>
      </c>
      <c r="P5" s="21" t="s">
        <v>6</v>
      </c>
      <c r="R5" s="22" t="s">
        <v>5</v>
      </c>
    </row>
    <row r="6" spans="2:21" x14ac:dyDescent="0.3">
      <c r="C6" s="6" t="s">
        <v>9</v>
      </c>
      <c r="D6" s="7" t="s">
        <v>18</v>
      </c>
      <c r="E6" s="8" t="s">
        <v>9</v>
      </c>
      <c r="F6" s="7" t="s">
        <v>18</v>
      </c>
      <c r="G6" s="9" t="s">
        <v>9</v>
      </c>
      <c r="H6" s="10" t="s">
        <v>18</v>
      </c>
      <c r="M6" s="1">
        <v>0</v>
      </c>
      <c r="N6" s="15">
        <v>3</v>
      </c>
      <c r="O6" s="16">
        <f t="shared" ref="O6:O28" si="0">EXP(-((M6/$U$11)^$U$10))-EXP(-((N6/$U$11)^$U$10))</f>
        <v>0.13285571140346919</v>
      </c>
      <c r="P6" s="5">
        <f>O6*8760</f>
        <v>1163.8160318943901</v>
      </c>
      <c r="R6" t="s">
        <v>11</v>
      </c>
    </row>
    <row r="7" spans="2:21" ht="15" thickBot="1" x14ac:dyDescent="0.35">
      <c r="B7">
        <f t="shared" ref="B7:B29" si="1">(M6+N6)/2</f>
        <v>1.5</v>
      </c>
      <c r="C7" s="1">
        <v>0</v>
      </c>
      <c r="D7" s="2">
        <f>C7*P6</f>
        <v>0</v>
      </c>
      <c r="E7" s="3">
        <v>0</v>
      </c>
      <c r="F7" s="2">
        <f>E7*P6</f>
        <v>0</v>
      </c>
      <c r="G7" s="4">
        <v>0</v>
      </c>
      <c r="H7" s="5">
        <f>G7*P6</f>
        <v>0</v>
      </c>
      <c r="M7" s="1">
        <v>3</v>
      </c>
      <c r="N7" s="15">
        <v>4</v>
      </c>
      <c r="O7" s="16">
        <f t="shared" si="0"/>
        <v>7.1409710340695653E-2</v>
      </c>
      <c r="P7" s="5">
        <f t="shared" ref="P7:P30" si="2">O7*8760</f>
        <v>625.54906258449387</v>
      </c>
    </row>
    <row r="8" spans="2:21" ht="15" thickBot="1" x14ac:dyDescent="0.35">
      <c r="B8">
        <f t="shared" si="1"/>
        <v>3.5</v>
      </c>
      <c r="C8" s="1">
        <v>48</v>
      </c>
      <c r="D8" s="2">
        <f>C8*P7</f>
        <v>30026.355004055706</v>
      </c>
      <c r="E8" s="3">
        <v>230</v>
      </c>
      <c r="F8" s="2">
        <f t="shared" ref="F8:F29" si="3">E8*P7</f>
        <v>143876.28439443358</v>
      </c>
      <c r="G8" s="4">
        <v>115</v>
      </c>
      <c r="H8" s="5">
        <f t="shared" ref="H8:H29" si="4">G8*P7</f>
        <v>71938.142197216788</v>
      </c>
      <c r="M8" s="1">
        <v>4</v>
      </c>
      <c r="N8" s="15">
        <v>5</v>
      </c>
      <c r="O8" s="16">
        <f t="shared" si="0"/>
        <v>7.6420421187318288E-2</v>
      </c>
      <c r="P8" s="5">
        <f t="shared" si="2"/>
        <v>669.44288960090819</v>
      </c>
      <c r="R8" s="22" t="s">
        <v>12</v>
      </c>
    </row>
    <row r="9" spans="2:21" ht="15" thickBot="1" x14ac:dyDescent="0.35">
      <c r="B9">
        <f t="shared" si="1"/>
        <v>4.5</v>
      </c>
      <c r="C9" s="1">
        <v>350</v>
      </c>
      <c r="D9" s="2">
        <f t="shared" ref="D9:D29" si="5">C9*P8</f>
        <v>234305.01136031788</v>
      </c>
      <c r="E9" s="3">
        <v>450</v>
      </c>
      <c r="F9" s="2">
        <f t="shared" si="3"/>
        <v>301249.30032040866</v>
      </c>
      <c r="G9" s="4">
        <v>430</v>
      </c>
      <c r="H9" s="5">
        <f t="shared" si="4"/>
        <v>287860.4425283905</v>
      </c>
      <c r="M9" s="1">
        <v>5</v>
      </c>
      <c r="N9" s="15">
        <v>6</v>
      </c>
      <c r="O9" s="16">
        <f t="shared" si="0"/>
        <v>7.8027879255584742E-2</v>
      </c>
      <c r="P9" s="5">
        <f t="shared" si="2"/>
        <v>683.52422227892237</v>
      </c>
    </row>
    <row r="10" spans="2:21" x14ac:dyDescent="0.3">
      <c r="B10">
        <f t="shared" si="1"/>
        <v>5.5</v>
      </c>
      <c r="C10" s="1">
        <v>930</v>
      </c>
      <c r="D10" s="2">
        <f t="shared" si="5"/>
        <v>635677.52671939775</v>
      </c>
      <c r="E10" s="3">
        <v>760</v>
      </c>
      <c r="F10" s="2">
        <f t="shared" si="3"/>
        <v>519478.40893198102</v>
      </c>
      <c r="G10" s="4">
        <v>900</v>
      </c>
      <c r="H10" s="5">
        <f t="shared" si="4"/>
        <v>615171.80005103012</v>
      </c>
      <c r="M10" s="1">
        <v>6</v>
      </c>
      <c r="N10" s="15">
        <v>7</v>
      </c>
      <c r="O10" s="16">
        <f t="shared" si="0"/>
        <v>7.6930006351536906E-2</v>
      </c>
      <c r="P10" s="5">
        <f t="shared" si="2"/>
        <v>673.90685563946329</v>
      </c>
      <c r="T10" s="24" t="s">
        <v>14</v>
      </c>
      <c r="U10" s="14">
        <v>1.64</v>
      </c>
    </row>
    <row r="11" spans="2:21" ht="15" thickBot="1" x14ac:dyDescent="0.35">
      <c r="B11">
        <f t="shared" si="1"/>
        <v>6.5</v>
      </c>
      <c r="C11" s="1">
        <v>1737</v>
      </c>
      <c r="D11" s="2">
        <f t="shared" si="5"/>
        <v>1170576.2082457477</v>
      </c>
      <c r="E11" s="3">
        <v>1250</v>
      </c>
      <c r="F11" s="2">
        <f t="shared" si="3"/>
        <v>842383.56954932911</v>
      </c>
      <c r="G11" s="4">
        <v>1600</v>
      </c>
      <c r="H11" s="5">
        <f t="shared" si="4"/>
        <v>1078250.9690231413</v>
      </c>
      <c r="M11" s="1">
        <v>7</v>
      </c>
      <c r="N11" s="15">
        <v>8</v>
      </c>
      <c r="O11" s="16">
        <f t="shared" si="0"/>
        <v>7.3755213746516224E-2</v>
      </c>
      <c r="P11" s="5">
        <f t="shared" si="2"/>
        <v>646.09567241948207</v>
      </c>
      <c r="T11" s="25" t="s">
        <v>13</v>
      </c>
      <c r="U11" s="23">
        <v>9.84</v>
      </c>
    </row>
    <row r="12" spans="2:21" x14ac:dyDescent="0.3">
      <c r="B12">
        <f t="shared" si="1"/>
        <v>7.5</v>
      </c>
      <c r="C12" s="1">
        <v>2730</v>
      </c>
      <c r="D12" s="2">
        <f t="shared" si="5"/>
        <v>1763841.1857051861</v>
      </c>
      <c r="E12" s="3">
        <v>1930</v>
      </c>
      <c r="F12" s="2">
        <f t="shared" si="3"/>
        <v>1246964.6477696004</v>
      </c>
      <c r="G12" s="4">
        <v>2570</v>
      </c>
      <c r="H12" s="5">
        <f t="shared" si="4"/>
        <v>1660465.8781180689</v>
      </c>
      <c r="M12" s="1">
        <v>8</v>
      </c>
      <c r="N12" s="15">
        <v>9</v>
      </c>
      <c r="O12" s="16">
        <f t="shared" si="0"/>
        <v>6.9071235784997798E-2</v>
      </c>
      <c r="P12" s="5">
        <f t="shared" si="2"/>
        <v>605.0640254765807</v>
      </c>
    </row>
    <row r="13" spans="2:21" x14ac:dyDescent="0.3">
      <c r="B13">
        <f t="shared" si="1"/>
        <v>8.5</v>
      </c>
      <c r="C13" s="1">
        <v>3980</v>
      </c>
      <c r="D13" s="2">
        <f t="shared" si="5"/>
        <v>2408154.8213967914</v>
      </c>
      <c r="E13" s="3">
        <v>2723</v>
      </c>
      <c r="F13" s="2">
        <f t="shared" si="3"/>
        <v>1647589.3413727293</v>
      </c>
      <c r="G13" s="4">
        <v>3784</v>
      </c>
      <c r="H13" s="5">
        <f t="shared" si="4"/>
        <v>2289562.2724033813</v>
      </c>
      <c r="M13" s="1">
        <v>9</v>
      </c>
      <c r="N13" s="15">
        <v>10</v>
      </c>
      <c r="O13" s="16">
        <f t="shared" si="0"/>
        <v>6.3380454020947663E-2</v>
      </c>
      <c r="P13" s="5">
        <f t="shared" si="2"/>
        <v>555.21277722350158</v>
      </c>
    </row>
    <row r="14" spans="2:21" x14ac:dyDescent="0.3">
      <c r="B14">
        <f t="shared" si="1"/>
        <v>9.5</v>
      </c>
      <c r="C14" s="1">
        <v>5400</v>
      </c>
      <c r="D14" s="2">
        <f t="shared" si="5"/>
        <v>2998148.9970069085</v>
      </c>
      <c r="E14" s="3">
        <v>3465</v>
      </c>
      <c r="F14" s="2">
        <f t="shared" si="3"/>
        <v>1923812.273079433</v>
      </c>
      <c r="G14" s="4">
        <v>5170</v>
      </c>
      <c r="H14" s="5">
        <f t="shared" si="4"/>
        <v>2870450.0582455033</v>
      </c>
      <c r="M14" s="1">
        <v>10</v>
      </c>
      <c r="N14" s="15">
        <v>11</v>
      </c>
      <c r="O14" s="16">
        <f t="shared" si="0"/>
        <v>5.7113935392775372E-2</v>
      </c>
      <c r="P14" s="5">
        <f t="shared" si="2"/>
        <v>500.31807404071225</v>
      </c>
    </row>
    <row r="15" spans="2:21" x14ac:dyDescent="0.3">
      <c r="B15">
        <f t="shared" si="1"/>
        <v>10.5</v>
      </c>
      <c r="C15" s="1">
        <v>6690</v>
      </c>
      <c r="D15" s="2">
        <f t="shared" si="5"/>
        <v>3347127.9153323648</v>
      </c>
      <c r="E15" s="3">
        <v>4130</v>
      </c>
      <c r="F15" s="2">
        <f t="shared" si="3"/>
        <v>2066313.6457881415</v>
      </c>
      <c r="G15" s="4">
        <v>6600</v>
      </c>
      <c r="H15" s="5">
        <f t="shared" si="4"/>
        <v>3302099.288668701</v>
      </c>
      <c r="M15" s="1">
        <v>11</v>
      </c>
      <c r="N15" s="15">
        <v>12</v>
      </c>
      <c r="O15" s="16">
        <f t="shared" si="0"/>
        <v>5.0628213166051206E-2</v>
      </c>
      <c r="P15" s="5">
        <f t="shared" si="2"/>
        <v>443.50314733460857</v>
      </c>
    </row>
    <row r="16" spans="2:21" x14ac:dyDescent="0.3">
      <c r="B16">
        <f t="shared" si="1"/>
        <v>11.5</v>
      </c>
      <c r="C16" s="1">
        <v>7570</v>
      </c>
      <c r="D16" s="2">
        <f t="shared" si="5"/>
        <v>3357318.825322987</v>
      </c>
      <c r="E16" s="3">
        <v>4600</v>
      </c>
      <c r="F16" s="2">
        <f t="shared" si="3"/>
        <v>2040114.4777391995</v>
      </c>
      <c r="G16" s="4">
        <v>7960</v>
      </c>
      <c r="H16" s="5">
        <f t="shared" si="4"/>
        <v>3530285.0527834841</v>
      </c>
      <c r="M16" s="1">
        <v>12</v>
      </c>
      <c r="N16" s="15">
        <v>13</v>
      </c>
      <c r="O16" s="16">
        <f t="shared" si="0"/>
        <v>4.4205807415234305E-2</v>
      </c>
      <c r="P16" s="5">
        <f t="shared" si="2"/>
        <v>387.24287295745251</v>
      </c>
    </row>
    <row r="17" spans="2:16" x14ac:dyDescent="0.3">
      <c r="B17">
        <f t="shared" si="1"/>
        <v>12.5</v>
      </c>
      <c r="C17" s="1">
        <v>7895</v>
      </c>
      <c r="D17" s="2">
        <f t="shared" si="5"/>
        <v>3057282.4819990876</v>
      </c>
      <c r="E17" s="3">
        <v>4850</v>
      </c>
      <c r="F17" s="2">
        <f t="shared" si="3"/>
        <v>1878127.9338436446</v>
      </c>
      <c r="G17" s="4">
        <v>9080</v>
      </c>
      <c r="H17" s="5">
        <f t="shared" si="4"/>
        <v>3516165.286453669</v>
      </c>
      <c r="M17" s="1">
        <v>13</v>
      </c>
      <c r="N17" s="15">
        <v>14</v>
      </c>
      <c r="O17" s="16">
        <f t="shared" si="0"/>
        <v>3.8059222263187226E-2</v>
      </c>
      <c r="P17" s="5">
        <f t="shared" si="2"/>
        <v>333.39878702552011</v>
      </c>
    </row>
    <row r="18" spans="2:16" x14ac:dyDescent="0.3">
      <c r="B18">
        <f t="shared" si="1"/>
        <v>13.5</v>
      </c>
      <c r="C18" s="1">
        <v>7990</v>
      </c>
      <c r="D18" s="2">
        <f t="shared" si="5"/>
        <v>2663856.3083339059</v>
      </c>
      <c r="E18" s="3">
        <v>4940</v>
      </c>
      <c r="F18" s="2">
        <f t="shared" si="3"/>
        <v>1646990.0079060693</v>
      </c>
      <c r="G18" s="4">
        <v>9410</v>
      </c>
      <c r="H18" s="5">
        <f t="shared" si="4"/>
        <v>3137282.5859101443</v>
      </c>
      <c r="M18" s="1">
        <v>14</v>
      </c>
      <c r="N18" s="15">
        <v>15</v>
      </c>
      <c r="O18" s="16">
        <f t="shared" si="0"/>
        <v>3.2337640457219735E-2</v>
      </c>
      <c r="P18" s="5">
        <f t="shared" si="2"/>
        <v>283.27773040524488</v>
      </c>
    </row>
    <row r="19" spans="2:16" x14ac:dyDescent="0.3">
      <c r="B19">
        <f t="shared" si="1"/>
        <v>14.5</v>
      </c>
      <c r="C19" s="1">
        <v>8000</v>
      </c>
      <c r="D19" s="2">
        <f t="shared" si="5"/>
        <v>2266221.8432419589</v>
      </c>
      <c r="E19" s="3">
        <v>5000</v>
      </c>
      <c r="F19" s="2">
        <f t="shared" si="3"/>
        <v>1416388.6520262244</v>
      </c>
      <c r="G19" s="4">
        <v>9500</v>
      </c>
      <c r="H19" s="5">
        <f t="shared" si="4"/>
        <v>2691138.4388498263</v>
      </c>
      <c r="M19" s="1">
        <v>15</v>
      </c>
      <c r="N19" s="15">
        <v>16</v>
      </c>
      <c r="O19" s="16">
        <f t="shared" si="0"/>
        <v>2.7135380446061619E-2</v>
      </c>
      <c r="P19" s="5">
        <f t="shared" si="2"/>
        <v>237.70593270749978</v>
      </c>
    </row>
    <row r="20" spans="2:16" x14ac:dyDescent="0.3">
      <c r="B20">
        <f t="shared" si="1"/>
        <v>15.5</v>
      </c>
      <c r="C20" s="1">
        <v>8000</v>
      </c>
      <c r="D20" s="2">
        <f t="shared" si="5"/>
        <v>1901647.4616599982</v>
      </c>
      <c r="E20" s="3">
        <v>5000</v>
      </c>
      <c r="F20" s="2">
        <f t="shared" si="3"/>
        <v>1188529.663537499</v>
      </c>
      <c r="G20" s="4">
        <v>9500</v>
      </c>
      <c r="H20" s="5">
        <f t="shared" si="4"/>
        <v>2258206.3607212477</v>
      </c>
      <c r="M20" s="1">
        <v>16</v>
      </c>
      <c r="N20" s="15">
        <v>17</v>
      </c>
      <c r="O20" s="16">
        <f t="shared" si="0"/>
        <v>2.2501215496704668E-2</v>
      </c>
      <c r="P20" s="5">
        <f t="shared" si="2"/>
        <v>197.11064775113289</v>
      </c>
    </row>
    <row r="21" spans="2:16" x14ac:dyDescent="0.3">
      <c r="B21">
        <f t="shared" si="1"/>
        <v>16.5</v>
      </c>
      <c r="C21" s="1">
        <v>8000</v>
      </c>
      <c r="D21" s="2">
        <f t="shared" si="5"/>
        <v>1576885.1820090632</v>
      </c>
      <c r="E21" s="3">
        <v>5000</v>
      </c>
      <c r="F21" s="2">
        <f t="shared" si="3"/>
        <v>985553.23875566444</v>
      </c>
      <c r="G21" s="4">
        <v>9500</v>
      </c>
      <c r="H21" s="5">
        <f t="shared" si="4"/>
        <v>1872551.1536357624</v>
      </c>
      <c r="M21" s="1">
        <v>17</v>
      </c>
      <c r="N21" s="15">
        <v>18</v>
      </c>
      <c r="O21" s="16">
        <f t="shared" si="0"/>
        <v>1.8447786964797666E-2</v>
      </c>
      <c r="P21" s="5">
        <f t="shared" si="2"/>
        <v>161.60261381162755</v>
      </c>
    </row>
    <row r="22" spans="2:16" x14ac:dyDescent="0.3">
      <c r="B22">
        <f t="shared" si="1"/>
        <v>17.5</v>
      </c>
      <c r="C22" s="1">
        <v>8000</v>
      </c>
      <c r="D22" s="2">
        <f t="shared" si="5"/>
        <v>1292820.9104930204</v>
      </c>
      <c r="E22" s="3">
        <v>4992</v>
      </c>
      <c r="F22" s="2">
        <f t="shared" si="3"/>
        <v>806720.24814764468</v>
      </c>
      <c r="G22" s="4">
        <v>9500</v>
      </c>
      <c r="H22" s="5">
        <f t="shared" si="4"/>
        <v>1535224.8312104617</v>
      </c>
      <c r="M22" s="1">
        <v>18</v>
      </c>
      <c r="N22" s="15">
        <v>19</v>
      </c>
      <c r="O22" s="16">
        <f t="shared" si="0"/>
        <v>1.4960519324445046E-2</v>
      </c>
      <c r="P22" s="5">
        <f t="shared" si="2"/>
        <v>131.05414928213861</v>
      </c>
    </row>
    <row r="23" spans="2:16" x14ac:dyDescent="0.3">
      <c r="B23">
        <f t="shared" si="1"/>
        <v>18.5</v>
      </c>
      <c r="C23" s="1">
        <v>8000</v>
      </c>
      <c r="D23" s="2">
        <f t="shared" si="5"/>
        <v>1048433.1942571088</v>
      </c>
      <c r="E23" s="3">
        <v>4916</v>
      </c>
      <c r="F23" s="2">
        <f t="shared" si="3"/>
        <v>644262.1978709934</v>
      </c>
      <c r="G23" s="4">
        <v>9500</v>
      </c>
      <c r="H23" s="5">
        <f t="shared" si="4"/>
        <v>1245014.4181803167</v>
      </c>
      <c r="M23" s="1">
        <v>19</v>
      </c>
      <c r="N23" s="15">
        <v>20</v>
      </c>
      <c r="O23" s="16">
        <f t="shared" si="0"/>
        <v>1.2005627838905464E-2</v>
      </c>
      <c r="P23" s="5">
        <f t="shared" si="2"/>
        <v>105.16929986881186</v>
      </c>
    </row>
    <row r="24" spans="2:16" x14ac:dyDescent="0.3">
      <c r="B24">
        <f t="shared" si="1"/>
        <v>19.5</v>
      </c>
      <c r="C24" s="1">
        <v>8000</v>
      </c>
      <c r="D24" s="2">
        <f t="shared" si="5"/>
        <v>841354.39895049494</v>
      </c>
      <c r="E24" s="3">
        <v>4802</v>
      </c>
      <c r="F24" s="2">
        <f t="shared" si="3"/>
        <v>505022.97797003458</v>
      </c>
      <c r="G24" s="4">
        <v>9500</v>
      </c>
      <c r="H24" s="5">
        <f t="shared" si="4"/>
        <v>999108.34875371272</v>
      </c>
      <c r="M24" s="1">
        <v>20</v>
      </c>
      <c r="N24" s="15">
        <v>21</v>
      </c>
      <c r="O24" s="16">
        <f t="shared" si="0"/>
        <v>9.5369789000465978E-3</v>
      </c>
      <c r="P24" s="5">
        <f t="shared" si="2"/>
        <v>83.543935164408197</v>
      </c>
    </row>
    <row r="25" spans="2:16" x14ac:dyDescent="0.3">
      <c r="B25">
        <f t="shared" si="1"/>
        <v>20.5</v>
      </c>
      <c r="C25" s="1">
        <v>8000</v>
      </c>
      <c r="D25" s="2">
        <f t="shared" si="5"/>
        <v>668351.48131526553</v>
      </c>
      <c r="E25" s="3">
        <v>4700</v>
      </c>
      <c r="F25" s="2">
        <f t="shared" si="3"/>
        <v>392656.49527271854</v>
      </c>
      <c r="G25" s="4">
        <v>9500</v>
      </c>
      <c r="H25" s="5">
        <f t="shared" si="4"/>
        <v>793667.38406187785</v>
      </c>
      <c r="M25" s="1">
        <v>21</v>
      </c>
      <c r="N25" s="15">
        <v>22</v>
      </c>
      <c r="O25" s="16">
        <f t="shared" si="0"/>
        <v>7.5017056873180818E-3</v>
      </c>
      <c r="P25" s="5">
        <f t="shared" si="2"/>
        <v>65.71494182090639</v>
      </c>
    </row>
    <row r="26" spans="2:16" x14ac:dyDescent="0.3">
      <c r="B26">
        <f t="shared" si="1"/>
        <v>21.5</v>
      </c>
      <c r="C26" s="1">
        <v>8000</v>
      </c>
      <c r="D26" s="2">
        <f t="shared" si="5"/>
        <v>525719.5345672511</v>
      </c>
      <c r="E26" s="3">
        <v>4545</v>
      </c>
      <c r="F26" s="2">
        <f t="shared" si="3"/>
        <v>298674.41057601955</v>
      </c>
      <c r="G26" s="4">
        <v>9500</v>
      </c>
      <c r="H26" s="5">
        <f t="shared" si="4"/>
        <v>624291.9472986107</v>
      </c>
      <c r="M26" s="1">
        <v>22</v>
      </c>
      <c r="N26" s="15">
        <v>23</v>
      </c>
      <c r="O26" s="16">
        <f t="shared" si="0"/>
        <v>5.8445924959852104E-3</v>
      </c>
      <c r="P26" s="5">
        <f t="shared" si="2"/>
        <v>51.198630264830442</v>
      </c>
    </row>
    <row r="27" spans="2:16" x14ac:dyDescent="0.3">
      <c r="B27">
        <f t="shared" si="1"/>
        <v>22.5</v>
      </c>
      <c r="C27" s="1">
        <v>8000</v>
      </c>
      <c r="D27" s="2">
        <f t="shared" si="5"/>
        <v>409589.04211864353</v>
      </c>
      <c r="E27" s="3">
        <v>4310</v>
      </c>
      <c r="F27" s="2">
        <f t="shared" si="3"/>
        <v>220666.09644141921</v>
      </c>
      <c r="G27" s="4">
        <v>9500</v>
      </c>
      <c r="H27" s="5">
        <f t="shared" si="4"/>
        <v>486386.98751588922</v>
      </c>
      <c r="M27" s="1">
        <v>23</v>
      </c>
      <c r="N27" s="15">
        <v>24</v>
      </c>
      <c r="O27" s="16">
        <f t="shared" si="0"/>
        <v>4.5113194353474054E-3</v>
      </c>
      <c r="P27" s="5">
        <f t="shared" si="2"/>
        <v>39.519158253643269</v>
      </c>
    </row>
    <row r="28" spans="2:16" x14ac:dyDescent="0.3">
      <c r="B28">
        <f t="shared" si="1"/>
        <v>23.5</v>
      </c>
      <c r="C28" s="1">
        <v>8000</v>
      </c>
      <c r="D28" s="2">
        <f t="shared" si="5"/>
        <v>316153.26602914615</v>
      </c>
      <c r="E28" s="3">
        <v>4097</v>
      </c>
      <c r="F28" s="2">
        <f t="shared" si="3"/>
        <v>161909.99136517648</v>
      </c>
      <c r="G28" s="4">
        <v>9500</v>
      </c>
      <c r="H28" s="5">
        <f t="shared" si="4"/>
        <v>375432.00340961106</v>
      </c>
      <c r="M28" s="1">
        <v>24</v>
      </c>
      <c r="N28" s="15">
        <v>25</v>
      </c>
      <c r="O28" s="16">
        <f t="shared" si="0"/>
        <v>3.4507080586628613E-3</v>
      </c>
      <c r="P28" s="5">
        <f t="shared" si="2"/>
        <v>30.228202593886664</v>
      </c>
    </row>
    <row r="29" spans="2:16" ht="15" thickBot="1" x14ac:dyDescent="0.35">
      <c r="B29">
        <f t="shared" si="1"/>
        <v>24.5</v>
      </c>
      <c r="C29" s="1">
        <v>8000</v>
      </c>
      <c r="D29" s="2">
        <f t="shared" si="5"/>
        <v>241825.62075109332</v>
      </c>
      <c r="E29" s="3">
        <v>3872</v>
      </c>
      <c r="F29" s="2">
        <f t="shared" si="3"/>
        <v>117043.60044352917</v>
      </c>
      <c r="G29" s="4">
        <v>9500</v>
      </c>
      <c r="H29" s="5">
        <f t="shared" si="4"/>
        <v>287167.92464192328</v>
      </c>
      <c r="M29" s="1">
        <v>25</v>
      </c>
      <c r="N29" s="15" t="s">
        <v>7</v>
      </c>
      <c r="O29" s="16">
        <f>1-SUM(O6:O28)</f>
        <v>9.9087145661906906E-3</v>
      </c>
      <c r="P29" s="5">
        <f t="shared" si="2"/>
        <v>86.800339599830451</v>
      </c>
    </row>
    <row r="30" spans="2:16" ht="15" thickBot="1" x14ac:dyDescent="0.35">
      <c r="B30" s="11" t="s">
        <v>17</v>
      </c>
      <c r="C30" s="62">
        <f>SUM(D7:D29)</f>
        <v>32755317.571819797</v>
      </c>
      <c r="D30" s="63"/>
      <c r="E30" s="62">
        <f>SUM(F7:F29)</f>
        <v>20994327.463101894</v>
      </c>
      <c r="F30" s="63"/>
      <c r="G30" s="62">
        <f>SUM(H7:H29)</f>
        <v>35527721.574661963</v>
      </c>
      <c r="H30" s="66"/>
      <c r="M30" s="26" t="s">
        <v>8</v>
      </c>
      <c r="N30" s="17"/>
      <c r="O30" s="17">
        <f>SUM(O6:O29)</f>
        <v>1</v>
      </c>
      <c r="P30" s="18">
        <f t="shared" si="2"/>
        <v>8760</v>
      </c>
    </row>
    <row r="31" spans="2:16" x14ac:dyDescent="0.3">
      <c r="B31" s="12" t="s">
        <v>16</v>
      </c>
      <c r="C31" s="64">
        <f>C30*C36</f>
        <v>31117551.693228807</v>
      </c>
      <c r="D31" s="65"/>
      <c r="E31" s="64">
        <f>E30*C36</f>
        <v>19944611.089946799</v>
      </c>
      <c r="F31" s="65"/>
      <c r="G31" s="64">
        <f>G30*C36</f>
        <v>33751335.495928861</v>
      </c>
      <c r="H31" s="67"/>
    </row>
    <row r="32" spans="2:16" ht="15" thickBot="1" x14ac:dyDescent="0.35">
      <c r="B32" s="13" t="s">
        <v>15</v>
      </c>
      <c r="C32" s="60">
        <f>C31/(C29*365*24)</f>
        <v>0.44402899105634713</v>
      </c>
      <c r="D32" s="61"/>
      <c r="E32" s="60">
        <f>E31/(E29*365*24)</f>
        <v>0.58801190286504912</v>
      </c>
      <c r="F32" s="61"/>
      <c r="G32" s="60">
        <f>G31/(G29*365*24)</f>
        <v>0.40556759788426894</v>
      </c>
      <c r="H32" s="68"/>
    </row>
    <row r="36" spans="2:3" x14ac:dyDescent="0.3">
      <c r="B36" t="s">
        <v>19</v>
      </c>
      <c r="C36">
        <f>1-0.05</f>
        <v>0.95</v>
      </c>
    </row>
  </sheetData>
  <mergeCells count="14">
    <mergeCell ref="B3:H3"/>
    <mergeCell ref="M3:P3"/>
    <mergeCell ref="C32:D32"/>
    <mergeCell ref="E30:F30"/>
    <mergeCell ref="E31:F31"/>
    <mergeCell ref="E32:F32"/>
    <mergeCell ref="G30:H30"/>
    <mergeCell ref="G31:H31"/>
    <mergeCell ref="G32:H32"/>
    <mergeCell ref="C5:D5"/>
    <mergeCell ref="E5:F5"/>
    <mergeCell ref="G5:H5"/>
    <mergeCell ref="C30:D30"/>
    <mergeCell ref="C31:D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2F1-C9FA-4CFD-B677-07902E99BD90}">
  <dimension ref="B2:AG24"/>
  <sheetViews>
    <sheetView zoomScale="70" zoomScaleNormal="70" workbookViewId="0">
      <selection activeCell="E29" sqref="E29"/>
    </sheetView>
  </sheetViews>
  <sheetFormatPr baseColWidth="10" defaultRowHeight="14.4" x14ac:dyDescent="0.3"/>
  <cols>
    <col min="2" max="2" width="42.21875" bestFit="1" customWidth="1"/>
    <col min="6" max="6" width="27.5546875" bestFit="1" customWidth="1"/>
    <col min="7" max="7" width="14.88671875" bestFit="1" customWidth="1"/>
    <col min="33" max="33" width="13.5546875" bestFit="1" customWidth="1"/>
  </cols>
  <sheetData>
    <row r="2" spans="2:33" ht="15" thickBot="1" x14ac:dyDescent="0.35"/>
    <row r="3" spans="2:33" ht="15" thickBot="1" x14ac:dyDescent="0.35">
      <c r="B3" s="27" t="s">
        <v>26</v>
      </c>
      <c r="C3" s="28"/>
      <c r="F3" s="40" t="s">
        <v>35</v>
      </c>
      <c r="G3" s="29">
        <v>0</v>
      </c>
      <c r="H3" s="30">
        <f t="shared" ref="H3:AF3" si="0">G3+1</f>
        <v>1</v>
      </c>
      <c r="I3" s="30">
        <f t="shared" si="0"/>
        <v>2</v>
      </c>
      <c r="J3" s="30">
        <f t="shared" si="0"/>
        <v>3</v>
      </c>
      <c r="K3" s="30">
        <f t="shared" si="0"/>
        <v>4</v>
      </c>
      <c r="L3" s="30">
        <f t="shared" si="0"/>
        <v>5</v>
      </c>
      <c r="M3" s="30">
        <f t="shared" si="0"/>
        <v>6</v>
      </c>
      <c r="N3" s="30">
        <f t="shared" si="0"/>
        <v>7</v>
      </c>
      <c r="O3" s="30">
        <f t="shared" si="0"/>
        <v>8</v>
      </c>
      <c r="P3" s="30">
        <f t="shared" si="0"/>
        <v>9</v>
      </c>
      <c r="Q3" s="30">
        <f t="shared" si="0"/>
        <v>10</v>
      </c>
      <c r="R3" s="30">
        <f t="shared" si="0"/>
        <v>11</v>
      </c>
      <c r="S3" s="30">
        <f t="shared" si="0"/>
        <v>12</v>
      </c>
      <c r="T3" s="30">
        <f t="shared" si="0"/>
        <v>13</v>
      </c>
      <c r="U3" s="30">
        <f t="shared" si="0"/>
        <v>14</v>
      </c>
      <c r="V3" s="30">
        <f t="shared" si="0"/>
        <v>15</v>
      </c>
      <c r="W3" s="30">
        <f t="shared" si="0"/>
        <v>16</v>
      </c>
      <c r="X3" s="30">
        <f t="shared" si="0"/>
        <v>17</v>
      </c>
      <c r="Y3" s="30">
        <f t="shared" si="0"/>
        <v>18</v>
      </c>
      <c r="Z3" s="30">
        <f t="shared" si="0"/>
        <v>19</v>
      </c>
      <c r="AA3" s="30">
        <f t="shared" si="0"/>
        <v>20</v>
      </c>
      <c r="AB3" s="30">
        <f t="shared" si="0"/>
        <v>21</v>
      </c>
      <c r="AC3" s="30">
        <f t="shared" si="0"/>
        <v>22</v>
      </c>
      <c r="AD3" s="30">
        <f t="shared" si="0"/>
        <v>23</v>
      </c>
      <c r="AE3" s="30">
        <f t="shared" si="0"/>
        <v>24</v>
      </c>
      <c r="AF3" s="31">
        <f t="shared" si="0"/>
        <v>25</v>
      </c>
      <c r="AG3" t="s">
        <v>45</v>
      </c>
    </row>
    <row r="4" spans="2:33" x14ac:dyDescent="0.3">
      <c r="B4" s="41" t="s">
        <v>21</v>
      </c>
      <c r="C4" s="35">
        <v>25</v>
      </c>
      <c r="F4" s="43" t="s">
        <v>36</v>
      </c>
      <c r="G4" s="32">
        <f>-C11</f>
        <v>-334137000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14"/>
    </row>
    <row r="5" spans="2:33" x14ac:dyDescent="0.3">
      <c r="B5" s="41" t="s">
        <v>22</v>
      </c>
      <c r="C5" s="35">
        <v>6.3250000000000001E-2</v>
      </c>
      <c r="F5" s="44" t="s">
        <v>30</v>
      </c>
      <c r="H5" s="33">
        <f>C24</f>
        <v>53252111.610157959</v>
      </c>
      <c r="I5" s="33">
        <f t="shared" ref="I5:AF5" si="1">H5+H5*$C$13</f>
        <v>53997641.172700174</v>
      </c>
      <c r="J5" s="33">
        <f t="shared" si="1"/>
        <v>54753608.149117976</v>
      </c>
      <c r="K5" s="33">
        <f t="shared" si="1"/>
        <v>55520158.663205631</v>
      </c>
      <c r="L5" s="33">
        <f t="shared" si="1"/>
        <v>56297440.884490512</v>
      </c>
      <c r="M5" s="33">
        <f t="shared" si="1"/>
        <v>57085605.056873381</v>
      </c>
      <c r="N5" s="33">
        <f t="shared" si="1"/>
        <v>57884803.527669609</v>
      </c>
      <c r="O5" s="33">
        <f t="shared" si="1"/>
        <v>58695190.777056985</v>
      </c>
      <c r="P5" s="33">
        <f t="shared" si="1"/>
        <v>59516923.447935782</v>
      </c>
      <c r="Q5" s="33">
        <f t="shared" si="1"/>
        <v>60350160.376206882</v>
      </c>
      <c r="R5" s="33">
        <f t="shared" si="1"/>
        <v>61195062.621473782</v>
      </c>
      <c r="S5" s="33">
        <f t="shared" si="1"/>
        <v>62051793.498174414</v>
      </c>
      <c r="T5" s="33">
        <f t="shared" si="1"/>
        <v>62920518.607148856</v>
      </c>
      <c r="U5" s="33">
        <f t="shared" si="1"/>
        <v>63801405.867648937</v>
      </c>
      <c r="V5" s="33">
        <f t="shared" si="1"/>
        <v>64694625.549796022</v>
      </c>
      <c r="W5" s="33">
        <f t="shared" si="1"/>
        <v>65600350.307493165</v>
      </c>
      <c r="X5" s="33">
        <f t="shared" si="1"/>
        <v>66518755.211798072</v>
      </c>
      <c r="Y5" s="33">
        <f t="shared" si="1"/>
        <v>67450017.784763247</v>
      </c>
      <c r="Z5" s="33">
        <f t="shared" si="1"/>
        <v>68394318.033749938</v>
      </c>
      <c r="AA5" s="33">
        <f t="shared" si="1"/>
        <v>69351838.486222431</v>
      </c>
      <c r="AB5" s="33">
        <f t="shared" si="1"/>
        <v>70322764.225029543</v>
      </c>
      <c r="AC5" s="33">
        <f t="shared" si="1"/>
        <v>71307282.924179956</v>
      </c>
      <c r="AD5" s="33">
        <f t="shared" si="1"/>
        <v>72305584.88511847</v>
      </c>
      <c r="AE5" s="33">
        <f t="shared" si="1"/>
        <v>73317863.073510125</v>
      </c>
      <c r="AF5" s="34">
        <f t="shared" si="1"/>
        <v>74344313.156539261</v>
      </c>
      <c r="AG5" s="33">
        <f>SUM(G5:AF5)</f>
        <v>1580930137.8980613</v>
      </c>
    </row>
    <row r="6" spans="2:33" x14ac:dyDescent="0.3">
      <c r="B6" s="41" t="s">
        <v>50</v>
      </c>
      <c r="C6" s="35">
        <v>750000</v>
      </c>
      <c r="F6" s="44" t="s">
        <v>37</v>
      </c>
      <c r="H6">
        <f>-C11*C12</f>
        <v>-11694795.000000002</v>
      </c>
      <c r="I6">
        <f t="shared" ref="I6:AF6" si="2">H6+H6*$C$12</f>
        <v>-12104112.825000001</v>
      </c>
      <c r="J6">
        <f t="shared" si="2"/>
        <v>-12527756.773875002</v>
      </c>
      <c r="K6">
        <f t="shared" si="2"/>
        <v>-12966228.260960627</v>
      </c>
      <c r="L6">
        <f t="shared" si="2"/>
        <v>-13420046.25009425</v>
      </c>
      <c r="M6">
        <f t="shared" si="2"/>
        <v>-13889747.868847549</v>
      </c>
      <c r="N6">
        <f t="shared" si="2"/>
        <v>-14375889.044257212</v>
      </c>
      <c r="O6">
        <f t="shared" si="2"/>
        <v>-14879045.160806214</v>
      </c>
      <c r="P6">
        <f t="shared" si="2"/>
        <v>-15399811.741434433</v>
      </c>
      <c r="Q6">
        <f t="shared" si="2"/>
        <v>-15938805.152384637</v>
      </c>
      <c r="R6">
        <f t="shared" si="2"/>
        <v>-16496663.332718099</v>
      </c>
      <c r="S6">
        <f t="shared" si="2"/>
        <v>-17074046.549363233</v>
      </c>
      <c r="T6">
        <f t="shared" si="2"/>
        <v>-17671638.178590946</v>
      </c>
      <c r="U6">
        <f t="shared" si="2"/>
        <v>-18290145.514841627</v>
      </c>
      <c r="V6">
        <f t="shared" si="2"/>
        <v>-18930300.607861083</v>
      </c>
      <c r="W6">
        <f t="shared" si="2"/>
        <v>-19592861.12913622</v>
      </c>
      <c r="X6">
        <f t="shared" si="2"/>
        <v>-20278611.268655986</v>
      </c>
      <c r="Y6">
        <f t="shared" si="2"/>
        <v>-20988362.663058944</v>
      </c>
      <c r="Z6">
        <f t="shared" si="2"/>
        <v>-21722955.356266007</v>
      </c>
      <c r="AA6">
        <f t="shared" si="2"/>
        <v>-22483258.793735318</v>
      </c>
      <c r="AB6">
        <f t="shared" si="2"/>
        <v>-23270172.851516053</v>
      </c>
      <c r="AC6">
        <f t="shared" si="2"/>
        <v>-24084628.901319116</v>
      </c>
      <c r="AD6">
        <f t="shared" si="2"/>
        <v>-24927590.912865285</v>
      </c>
      <c r="AE6">
        <f t="shared" si="2"/>
        <v>-25800056.594815571</v>
      </c>
      <c r="AF6" s="35">
        <f t="shared" si="2"/>
        <v>-26703058.575634114</v>
      </c>
      <c r="AG6">
        <f>-SUM(H6:AF6)</f>
        <v>455510589.30803758</v>
      </c>
    </row>
    <row r="7" spans="2:33" x14ac:dyDescent="0.3">
      <c r="B7" s="41" t="s">
        <v>34</v>
      </c>
      <c r="C7" s="35">
        <v>325900000</v>
      </c>
      <c r="F7" s="44" t="s">
        <v>38</v>
      </c>
      <c r="G7">
        <f>SUM(G4:G6)</f>
        <v>-334137000</v>
      </c>
      <c r="H7">
        <f>SUM(H4:H6)</f>
        <v>41557316.610157959</v>
      </c>
      <c r="I7">
        <f>SUM(I4:I6)</f>
        <v>41893528.347700171</v>
      </c>
      <c r="J7">
        <f t="shared" ref="J7:AF7" si="3">SUM(J4:J6)</f>
        <v>42225851.375242978</v>
      </c>
      <c r="K7">
        <f t="shared" si="3"/>
        <v>42553930.402245</v>
      </c>
      <c r="L7">
        <f t="shared" si="3"/>
        <v>42877394.634396262</v>
      </c>
      <c r="M7">
        <f t="shared" si="3"/>
        <v>43195857.188025832</v>
      </c>
      <c r="N7">
        <f t="shared" si="3"/>
        <v>43508914.4834124</v>
      </c>
      <c r="O7">
        <f t="shared" si="3"/>
        <v>43816145.616250768</v>
      </c>
      <c r="P7">
        <f t="shared" si="3"/>
        <v>44117111.70650135</v>
      </c>
      <c r="Q7">
        <f t="shared" si="3"/>
        <v>44411355.223822244</v>
      </c>
      <c r="R7">
        <f t="shared" si="3"/>
        <v>44698399.288755685</v>
      </c>
      <c r="S7">
        <f t="shared" si="3"/>
        <v>44977746.948811181</v>
      </c>
      <c r="T7">
        <f t="shared" si="3"/>
        <v>45248880.42855791</v>
      </c>
      <c r="U7">
        <f t="shared" si="3"/>
        <v>45511260.352807313</v>
      </c>
      <c r="V7">
        <f t="shared" si="3"/>
        <v>45764324.941934943</v>
      </c>
      <c r="W7">
        <f t="shared" si="3"/>
        <v>46007489.178356946</v>
      </c>
      <c r="X7">
        <f t="shared" si="3"/>
        <v>46240143.943142086</v>
      </c>
      <c r="Y7">
        <f t="shared" si="3"/>
        <v>46461655.121704303</v>
      </c>
      <c r="Z7">
        <f t="shared" si="3"/>
        <v>46671362.677483931</v>
      </c>
      <c r="AA7">
        <f t="shared" si="3"/>
        <v>46868579.692487113</v>
      </c>
      <c r="AB7">
        <f t="shared" si="3"/>
        <v>47052591.37351349</v>
      </c>
      <c r="AC7">
        <f t="shared" si="3"/>
        <v>47222654.02286084</v>
      </c>
      <c r="AD7">
        <f t="shared" si="3"/>
        <v>47377993.972253188</v>
      </c>
      <c r="AE7">
        <f t="shared" si="3"/>
        <v>47517806.478694558</v>
      </c>
      <c r="AF7" s="35">
        <f t="shared" si="3"/>
        <v>47641254.580905147</v>
      </c>
    </row>
    <row r="8" spans="2:33" ht="15" thickBot="1" x14ac:dyDescent="0.35">
      <c r="B8" s="41" t="s">
        <v>33</v>
      </c>
      <c r="C8" s="35">
        <v>2060500</v>
      </c>
      <c r="F8" s="45" t="s">
        <v>39</v>
      </c>
      <c r="G8" s="36">
        <f>G4</f>
        <v>-334137000</v>
      </c>
      <c r="H8" s="36">
        <f>G8+H7</f>
        <v>-292579683.38984203</v>
      </c>
      <c r="I8" s="36">
        <f>H8+I7</f>
        <v>-250686155.04214185</v>
      </c>
      <c r="J8" s="36">
        <f>I8+J7</f>
        <v>-208460303.66689888</v>
      </c>
      <c r="K8" s="36">
        <f t="shared" ref="K8:AF8" si="4">J8+K7</f>
        <v>-165906373.26465386</v>
      </c>
      <c r="L8" s="36">
        <f t="shared" si="4"/>
        <v>-123028978.63025761</v>
      </c>
      <c r="M8" s="36">
        <f t="shared" si="4"/>
        <v>-79833121.442231774</v>
      </c>
      <c r="N8" s="36">
        <f>M8+N7</f>
        <v>-36324206.958819374</v>
      </c>
      <c r="O8" s="36">
        <f t="shared" si="4"/>
        <v>7491938.6574313939</v>
      </c>
      <c r="P8" s="36">
        <f t="shared" si="4"/>
        <v>51609050.363932744</v>
      </c>
      <c r="Q8" s="36">
        <f t="shared" si="4"/>
        <v>96020405.587754995</v>
      </c>
      <c r="R8" s="36">
        <f t="shared" si="4"/>
        <v>140718804.87651068</v>
      </c>
      <c r="S8" s="36">
        <f t="shared" si="4"/>
        <v>185696551.82532185</v>
      </c>
      <c r="T8" s="36">
        <f t="shared" si="4"/>
        <v>230945432.25387976</v>
      </c>
      <c r="U8" s="36">
        <f t="shared" si="4"/>
        <v>276456692.60668707</v>
      </c>
      <c r="V8" s="36">
        <f t="shared" si="4"/>
        <v>322221017.54862201</v>
      </c>
      <c r="W8" s="36">
        <f t="shared" si="4"/>
        <v>368228506.72697896</v>
      </c>
      <c r="X8" s="36">
        <f t="shared" si="4"/>
        <v>414468650.67012107</v>
      </c>
      <c r="Y8" s="36">
        <f t="shared" si="4"/>
        <v>460930305.79182535</v>
      </c>
      <c r="Z8" s="36">
        <f t="shared" si="4"/>
        <v>507601668.46930927</v>
      </c>
      <c r="AA8" s="36">
        <f t="shared" si="4"/>
        <v>554470248.16179633</v>
      </c>
      <c r="AB8" s="36">
        <f t="shared" si="4"/>
        <v>601522839.53530979</v>
      </c>
      <c r="AC8" s="36">
        <f t="shared" si="4"/>
        <v>648745493.55817068</v>
      </c>
      <c r="AD8" s="36">
        <f t="shared" si="4"/>
        <v>696123487.53042388</v>
      </c>
      <c r="AE8" s="36">
        <f t="shared" si="4"/>
        <v>743641294.00911844</v>
      </c>
      <c r="AF8" s="23">
        <f t="shared" si="4"/>
        <v>791282548.59002364</v>
      </c>
    </row>
    <row r="9" spans="2:33" x14ac:dyDescent="0.3">
      <c r="B9" s="41" t="s">
        <v>32</v>
      </c>
      <c r="C9" s="35">
        <v>4750000</v>
      </c>
    </row>
    <row r="10" spans="2:33" ht="15" thickBot="1" x14ac:dyDescent="0.35">
      <c r="B10" s="41" t="s">
        <v>49</v>
      </c>
      <c r="C10" s="35">
        <v>676500</v>
      </c>
    </row>
    <row r="11" spans="2:33" x14ac:dyDescent="0.3">
      <c r="B11" s="41" t="s">
        <v>31</v>
      </c>
      <c r="C11" s="35">
        <f>SUM(C6:C10)</f>
        <v>334137000</v>
      </c>
      <c r="F11" s="46" t="s">
        <v>41</v>
      </c>
      <c r="G11" s="49">
        <f>(C5/(1-(1/(1+C5)^C4)))*100</f>
        <v>8.0658704711519569</v>
      </c>
    </row>
    <row r="12" spans="2:33" x14ac:dyDescent="0.3">
      <c r="B12" s="41" t="s">
        <v>43</v>
      </c>
      <c r="C12" s="53">
        <v>3.5000000000000003E-2</v>
      </c>
      <c r="F12" s="47" t="s">
        <v>40</v>
      </c>
      <c r="G12" s="50">
        <f>NPV(C14,G7:AF7)*(1+C14)</f>
        <v>115777917.05633332</v>
      </c>
    </row>
    <row r="13" spans="2:33" x14ac:dyDescent="0.3">
      <c r="B13" s="41" t="s">
        <v>42</v>
      </c>
      <c r="C13" s="53">
        <v>1.4E-2</v>
      </c>
      <c r="F13" s="47" t="s">
        <v>46</v>
      </c>
      <c r="G13" s="51">
        <f>(C11+AG6/(1+C5))/(C22/(1+C5))</f>
        <v>54.202227084569365</v>
      </c>
    </row>
    <row r="14" spans="2:33" ht="15" thickBot="1" x14ac:dyDescent="0.35">
      <c r="B14" s="42" t="s">
        <v>44</v>
      </c>
      <c r="C14" s="23">
        <v>8.5000000000000006E-2</v>
      </c>
      <c r="F14" s="48" t="s">
        <v>47</v>
      </c>
      <c r="G14" s="52">
        <f>G13/1000</f>
        <v>5.4202227084569364E-2</v>
      </c>
    </row>
    <row r="16" spans="2:33" ht="15" thickBot="1" x14ac:dyDescent="0.35">
      <c r="F16" s="37"/>
    </row>
    <row r="17" spans="2:4" ht="15" thickBot="1" x14ac:dyDescent="0.35">
      <c r="B17" s="38" t="s">
        <v>27</v>
      </c>
      <c r="C17" s="39"/>
    </row>
    <row r="18" spans="2:4" x14ac:dyDescent="0.3">
      <c r="B18" s="41" t="s">
        <v>23</v>
      </c>
      <c r="C18" s="35">
        <v>5</v>
      </c>
    </row>
    <row r="19" spans="2:4" x14ac:dyDescent="0.3">
      <c r="B19" s="41" t="s">
        <v>24</v>
      </c>
      <c r="C19" s="35">
        <v>30</v>
      </c>
    </row>
    <row r="20" spans="2:4" x14ac:dyDescent="0.3">
      <c r="B20" s="41" t="s">
        <v>25</v>
      </c>
      <c r="C20" s="35">
        <f>C19*C18</f>
        <v>150</v>
      </c>
    </row>
    <row r="21" spans="2:4" x14ac:dyDescent="0.3">
      <c r="B21" s="41" t="s">
        <v>28</v>
      </c>
      <c r="C21" s="35">
        <f>Aerogenerador!E31/1000</f>
        <v>19944.6110899468</v>
      </c>
    </row>
    <row r="22" spans="2:4" x14ac:dyDescent="0.3">
      <c r="B22" s="41" t="s">
        <v>48</v>
      </c>
      <c r="C22" s="35">
        <f>C21*C4*C19</f>
        <v>14958458.317460099</v>
      </c>
    </row>
    <row r="23" spans="2:4" x14ac:dyDescent="0.3">
      <c r="B23" s="41" t="s">
        <v>29</v>
      </c>
      <c r="C23" s="35">
        <v>89</v>
      </c>
      <c r="D23" t="s">
        <v>51</v>
      </c>
    </row>
    <row r="24" spans="2:4" ht="15" thickBot="1" x14ac:dyDescent="0.35">
      <c r="B24" s="42" t="s">
        <v>30</v>
      </c>
      <c r="C24" s="23">
        <f>C23*C21*C19</f>
        <v>53252111.610157959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Aerogenerador</vt:lpstr>
      <vt:lpstr>Rentabilidad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ALAINE</dc:creator>
  <cp:lastModifiedBy>Alaine Sánchez</cp:lastModifiedBy>
  <dcterms:created xsi:type="dcterms:W3CDTF">2023-06-21T10:13:56Z</dcterms:created>
  <dcterms:modified xsi:type="dcterms:W3CDTF">2023-09-19T22:29:18Z</dcterms:modified>
</cp:coreProperties>
</file>