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4"/>
  </bookViews>
  <sheets>
    <sheet name="ATLAS" sheetId="1" r:id="rId1"/>
    <sheet name="EST. OFICIAL" sheetId="11" r:id="rId2"/>
    <sheet name="SPINNING" sheetId="3" r:id="rId3"/>
    <sheet name="FOTOVOLTAICA" sheetId="4" r:id="rId4"/>
    <sheet name="BATERÍAS" sheetId="10" r:id="rId5"/>
    <sheet name="PRESUPUESTO" sheetId="12" r:id="rId6"/>
    <sheet name="RELACIÓN TRANSMISIÓN" sheetId="9" r:id="rId7"/>
    <sheet name="DIAGRAMA ÁRBOL" sheetId="6" r:id="rId8"/>
    <sheet name="DIAGRAMA GANTT" sheetId="7" r:id="rId9"/>
  </sheets>
  <calcPr calcId="125725"/>
</workbook>
</file>

<file path=xl/calcChain.xml><?xml version="1.0" encoding="utf-8"?>
<calcChain xmlns="http://schemas.openxmlformats.org/spreadsheetml/2006/main">
  <c r="Y15" i="12"/>
  <c r="AC101" i="4"/>
  <c r="AC100"/>
  <c r="AC99"/>
  <c r="V26"/>
  <c r="E10" i="9"/>
  <c r="E9"/>
  <c r="D22" i="12"/>
  <c r="AK7"/>
  <c r="W7"/>
  <c r="J7"/>
  <c r="J17"/>
  <c r="W17" s="1"/>
  <c r="AC17" s="1"/>
  <c r="AK17" s="1"/>
  <c r="J15"/>
  <c r="W15" s="1"/>
  <c r="AC15" s="1"/>
  <c r="AK15" s="1"/>
  <c r="J13"/>
  <c r="W13" s="1"/>
  <c r="AC13" s="1"/>
  <c r="AK13" s="1"/>
  <c r="D20"/>
  <c r="D17"/>
  <c r="D18" s="1"/>
  <c r="D16"/>
  <c r="L19" i="10"/>
  <c r="L26"/>
  <c r="H19"/>
  <c r="H26"/>
  <c r="D23" i="12" l="1"/>
  <c r="H47" i="3"/>
  <c r="H53" s="1"/>
  <c r="H41"/>
  <c r="AA20" i="11"/>
  <c r="AA26"/>
  <c r="F69"/>
  <c r="D57"/>
  <c r="F57" s="1"/>
  <c r="H57" s="1"/>
  <c r="G32"/>
  <c r="I32" s="1"/>
  <c r="U32" s="1"/>
  <c r="G33"/>
  <c r="I33" s="1"/>
  <c r="O33" s="1"/>
  <c r="G34"/>
  <c r="I34" s="1"/>
  <c r="G35"/>
  <c r="G36"/>
  <c r="I36" s="1"/>
  <c r="U36" s="1"/>
  <c r="G37"/>
  <c r="I37" s="1"/>
  <c r="O37" s="1"/>
  <c r="G31"/>
  <c r="I31" s="1"/>
  <c r="K31" s="1"/>
  <c r="W31" s="1"/>
  <c r="G22"/>
  <c r="I22" s="1"/>
  <c r="G23"/>
  <c r="I23" s="1"/>
  <c r="U23" s="1"/>
  <c r="G24"/>
  <c r="I24" s="1"/>
  <c r="G25"/>
  <c r="I25" s="1"/>
  <c r="U25" s="1"/>
  <c r="G26"/>
  <c r="I26" s="1"/>
  <c r="O26" s="1"/>
  <c r="AB16" s="1"/>
  <c r="G27"/>
  <c r="I27" s="1"/>
  <c r="U27" s="1"/>
  <c r="G21"/>
  <c r="I21" s="1"/>
  <c r="U21" s="1"/>
  <c r="I35"/>
  <c r="U35" s="1"/>
  <c r="G59" i="1"/>
  <c r="I59"/>
  <c r="O59" s="1"/>
  <c r="G58"/>
  <c r="I58" s="1"/>
  <c r="O58" s="1"/>
  <c r="G56"/>
  <c r="I56" s="1"/>
  <c r="O56" s="1"/>
  <c r="G52"/>
  <c r="I52" s="1"/>
  <c r="O52" s="1"/>
  <c r="G53"/>
  <c r="I53" s="1"/>
  <c r="O53" s="1"/>
  <c r="G54"/>
  <c r="I54" s="1"/>
  <c r="O54" s="1"/>
  <c r="AC54" s="1"/>
  <c r="G51"/>
  <c r="I51" s="1"/>
  <c r="O51" s="1"/>
  <c r="G45"/>
  <c r="I45" s="1"/>
  <c r="G43"/>
  <c r="I43" s="1"/>
  <c r="O43" s="1"/>
  <c r="G39"/>
  <c r="I39" s="1"/>
  <c r="K39" s="1"/>
  <c r="G40"/>
  <c r="I40" s="1"/>
  <c r="U40" s="1"/>
  <c r="G41"/>
  <c r="I41" s="1"/>
  <c r="G38"/>
  <c r="I38" s="1"/>
  <c r="K38" s="1"/>
  <c r="G32"/>
  <c r="I32" s="1"/>
  <c r="O32" s="1"/>
  <c r="G30"/>
  <c r="I30" s="1"/>
  <c r="O30" s="1"/>
  <c r="G28"/>
  <c r="I28" s="1"/>
  <c r="O28" s="1"/>
  <c r="G26"/>
  <c r="I26" s="1"/>
  <c r="O26" s="1"/>
  <c r="G27"/>
  <c r="I27" s="1"/>
  <c r="G25"/>
  <c r="I25" s="1"/>
  <c r="O25" s="1"/>
  <c r="I57"/>
  <c r="U57" s="1"/>
  <c r="I55"/>
  <c r="K55" s="1"/>
  <c r="I46"/>
  <c r="I44"/>
  <c r="O44" s="1"/>
  <c r="I42"/>
  <c r="I33"/>
  <c r="O33" s="1"/>
  <c r="AC33" s="1"/>
  <c r="I31"/>
  <c r="I29"/>
  <c r="O29" s="1"/>
  <c r="AC29" s="1"/>
  <c r="J6" i="3"/>
  <c r="D26" i="10"/>
  <c r="D19"/>
  <c r="E12" i="4"/>
  <c r="R26" s="1"/>
  <c r="R30" s="1"/>
  <c r="F12" i="3"/>
  <c r="D78" i="11"/>
  <c r="F78" s="1"/>
  <c r="D77"/>
  <c r="F77" s="1"/>
  <c r="D76"/>
  <c r="D75"/>
  <c r="F75" s="1"/>
  <c r="D74"/>
  <c r="F74" s="1"/>
  <c r="D73"/>
  <c r="F73" s="1"/>
  <c r="D72"/>
  <c r="D71"/>
  <c r="F71" s="1"/>
  <c r="D70"/>
  <c r="F70" s="1"/>
  <c r="D69"/>
  <c r="D68"/>
  <c r="D67"/>
  <c r="F67" s="1"/>
  <c r="D66"/>
  <c r="F66" s="1"/>
  <c r="D65"/>
  <c r="D59"/>
  <c r="F59" s="1"/>
  <c r="D58"/>
  <c r="F58" s="1"/>
  <c r="D56"/>
  <c r="F56" s="1"/>
  <c r="D55"/>
  <c r="F55" s="1"/>
  <c r="D54"/>
  <c r="F54" s="1"/>
  <c r="D53"/>
  <c r="F53" s="1"/>
  <c r="D52"/>
  <c r="F52" s="1"/>
  <c r="D51"/>
  <c r="F51" s="1"/>
  <c r="D50"/>
  <c r="F50" s="1"/>
  <c r="D49"/>
  <c r="D48"/>
  <c r="F48" s="1"/>
  <c r="D47"/>
  <c r="F47" s="1"/>
  <c r="D46"/>
  <c r="F46" s="1"/>
  <c r="D45"/>
  <c r="F45" s="1"/>
  <c r="I17"/>
  <c r="O17" s="1"/>
  <c r="I16"/>
  <c r="T16" s="1"/>
  <c r="V16" s="1"/>
  <c r="I15"/>
  <c r="K15" s="1"/>
  <c r="I14"/>
  <c r="K14" s="1"/>
  <c r="I13"/>
  <c r="O13" s="1"/>
  <c r="I12"/>
  <c r="T12" s="1"/>
  <c r="V12" s="1"/>
  <c r="I11"/>
  <c r="T11" s="1"/>
  <c r="AI89" i="4"/>
  <c r="AC89"/>
  <c r="P113"/>
  <c r="R113" s="1"/>
  <c r="N113"/>
  <c r="R31"/>
  <c r="R27"/>
  <c r="R28" s="1"/>
  <c r="R25"/>
  <c r="N101"/>
  <c r="P101" s="1"/>
  <c r="W101" s="1"/>
  <c r="Y101" s="1"/>
  <c r="N125"/>
  <c r="N124"/>
  <c r="N123"/>
  <c r="P123" s="1"/>
  <c r="N122"/>
  <c r="P122" s="1"/>
  <c r="N121"/>
  <c r="N120"/>
  <c r="N119"/>
  <c r="P119" s="1"/>
  <c r="N118"/>
  <c r="P118" s="1"/>
  <c r="N117"/>
  <c r="N116"/>
  <c r="N115"/>
  <c r="P115" s="1"/>
  <c r="N114"/>
  <c r="P114" s="1"/>
  <c r="N90"/>
  <c r="P90" s="1"/>
  <c r="R90" s="1"/>
  <c r="N91"/>
  <c r="N92"/>
  <c r="N93"/>
  <c r="P93" s="1"/>
  <c r="W93" s="1"/>
  <c r="Y93" s="1"/>
  <c r="N94"/>
  <c r="P94" s="1"/>
  <c r="W94" s="1"/>
  <c r="Y94" s="1"/>
  <c r="N95"/>
  <c r="N96"/>
  <c r="N97"/>
  <c r="P97" s="1"/>
  <c r="W97" s="1"/>
  <c r="Y97" s="1"/>
  <c r="N98"/>
  <c r="P98" s="1"/>
  <c r="R98" s="1"/>
  <c r="N99"/>
  <c r="N100"/>
  <c r="N89"/>
  <c r="P89" s="1"/>
  <c r="J58"/>
  <c r="J52"/>
  <c r="J45"/>
  <c r="G25"/>
  <c r="E7" i="9"/>
  <c r="W89" i="4" l="1"/>
  <c r="Y89" s="1"/>
  <c r="R89"/>
  <c r="P125"/>
  <c r="R125" s="1"/>
  <c r="P121"/>
  <c r="R121" s="1"/>
  <c r="P117"/>
  <c r="R117" s="1"/>
  <c r="R101"/>
  <c r="W98"/>
  <c r="Y98" s="1"/>
  <c r="W90"/>
  <c r="Y90" s="1"/>
  <c r="P124"/>
  <c r="R124" s="1"/>
  <c r="P120"/>
  <c r="R120" s="1"/>
  <c r="P116"/>
  <c r="R116" s="1"/>
  <c r="H49" i="11"/>
  <c r="F49"/>
  <c r="H69"/>
  <c r="H73"/>
  <c r="H77"/>
  <c r="H53"/>
  <c r="H59"/>
  <c r="H68"/>
  <c r="F65"/>
  <c r="H65" s="1"/>
  <c r="V11"/>
  <c r="F76"/>
  <c r="H76" s="1"/>
  <c r="F72"/>
  <c r="H72" s="1"/>
  <c r="F68"/>
  <c r="AK8" i="12"/>
  <c r="AK9" s="1"/>
  <c r="AM12" s="1"/>
  <c r="AM13" s="1"/>
  <c r="AM14" s="1"/>
  <c r="AM15" s="1"/>
  <c r="AM16" s="1"/>
  <c r="W8"/>
  <c r="W9" s="1"/>
  <c r="Y12" s="1"/>
  <c r="Y13" s="1"/>
  <c r="Y14" s="1"/>
  <c r="Y16" s="1"/>
  <c r="J8"/>
  <c r="J9" s="1"/>
  <c r="L12" s="1"/>
  <c r="AA32" i="11"/>
  <c r="H67"/>
  <c r="H71"/>
  <c r="H75"/>
  <c r="H66"/>
  <c r="H70"/>
  <c r="H74"/>
  <c r="H78"/>
  <c r="H45"/>
  <c r="H48"/>
  <c r="H52"/>
  <c r="H56"/>
  <c r="H47"/>
  <c r="H51"/>
  <c r="H55"/>
  <c r="H46"/>
  <c r="H50"/>
  <c r="H54"/>
  <c r="H58"/>
  <c r="U31"/>
  <c r="O35"/>
  <c r="O31"/>
  <c r="U26"/>
  <c r="K23"/>
  <c r="W23" s="1"/>
  <c r="K35"/>
  <c r="W35" s="1"/>
  <c r="O23"/>
  <c r="AB13" s="1"/>
  <c r="K27"/>
  <c r="W27" s="1"/>
  <c r="O27"/>
  <c r="AB17" s="1"/>
  <c r="O22"/>
  <c r="AB12" s="1"/>
  <c r="K22"/>
  <c r="W22" s="1"/>
  <c r="U22"/>
  <c r="U34"/>
  <c r="K34"/>
  <c r="W34" s="1"/>
  <c r="O34"/>
  <c r="U24"/>
  <c r="O24"/>
  <c r="AB14" s="1"/>
  <c r="K24"/>
  <c r="W24" s="1"/>
  <c r="K21"/>
  <c r="W21" s="1"/>
  <c r="K36"/>
  <c r="W36" s="1"/>
  <c r="K32"/>
  <c r="W32" s="1"/>
  <c r="O21"/>
  <c r="AB11" s="1"/>
  <c r="U37"/>
  <c r="U33"/>
  <c r="K25"/>
  <c r="W25" s="1"/>
  <c r="K37"/>
  <c r="W37" s="1"/>
  <c r="K33"/>
  <c r="W33" s="1"/>
  <c r="O36"/>
  <c r="O32"/>
  <c r="O25"/>
  <c r="AB15" s="1"/>
  <c r="K26"/>
  <c r="W26" s="1"/>
  <c r="T17"/>
  <c r="V17" s="1"/>
  <c r="T13"/>
  <c r="V13" s="1"/>
  <c r="T14"/>
  <c r="V14" s="1"/>
  <c r="K17"/>
  <c r="T15"/>
  <c r="V15" s="1"/>
  <c r="K33" i="1"/>
  <c r="W33" s="1"/>
  <c r="K57"/>
  <c r="W57" s="1"/>
  <c r="O40"/>
  <c r="AC40" s="1"/>
  <c r="K27"/>
  <c r="O27"/>
  <c r="P34" s="1"/>
  <c r="O41"/>
  <c r="K41"/>
  <c r="K45"/>
  <c r="W45" s="1"/>
  <c r="O45"/>
  <c r="AC45" s="1"/>
  <c r="K43"/>
  <c r="W43" s="1"/>
  <c r="O31"/>
  <c r="AC31" s="1"/>
  <c r="K29"/>
  <c r="W29" s="1"/>
  <c r="O46"/>
  <c r="AC46" s="1"/>
  <c r="O42"/>
  <c r="AC42" s="1"/>
  <c r="K31"/>
  <c r="O38"/>
  <c r="AC38" s="1"/>
  <c r="O39"/>
  <c r="AC39" s="1"/>
  <c r="O55"/>
  <c r="AC55" s="1"/>
  <c r="O57"/>
  <c r="AC57" s="1"/>
  <c r="AC59"/>
  <c r="K59"/>
  <c r="W59" s="1"/>
  <c r="U58"/>
  <c r="K58"/>
  <c r="W58" s="1"/>
  <c r="K56"/>
  <c r="W56" s="1"/>
  <c r="K52"/>
  <c r="W52" s="1"/>
  <c r="U53"/>
  <c r="K53"/>
  <c r="K54"/>
  <c r="W54" s="1"/>
  <c r="U51"/>
  <c r="K51"/>
  <c r="W51" s="1"/>
  <c r="U25"/>
  <c r="AC25"/>
  <c r="W41"/>
  <c r="K32"/>
  <c r="W32" s="1"/>
  <c r="K28"/>
  <c r="W28" s="1"/>
  <c r="K46"/>
  <c r="W46" s="1"/>
  <c r="K42"/>
  <c r="W42" s="1"/>
  <c r="K25"/>
  <c r="W25" s="1"/>
  <c r="K30"/>
  <c r="W30" s="1"/>
  <c r="K26"/>
  <c r="W26" s="1"/>
  <c r="K44"/>
  <c r="W44" s="1"/>
  <c r="K40"/>
  <c r="W40" s="1"/>
  <c r="AC32"/>
  <c r="AC28"/>
  <c r="W39"/>
  <c r="U33"/>
  <c r="W31"/>
  <c r="AC53"/>
  <c r="U42"/>
  <c r="U56"/>
  <c r="AC44"/>
  <c r="AC58"/>
  <c r="U27"/>
  <c r="U54"/>
  <c r="AC41"/>
  <c r="U31"/>
  <c r="U44"/>
  <c r="U29"/>
  <c r="U52"/>
  <c r="U38"/>
  <c r="U46"/>
  <c r="W27"/>
  <c r="W53"/>
  <c r="AC43"/>
  <c r="AC52"/>
  <c r="AC56"/>
  <c r="AC51"/>
  <c r="U32"/>
  <c r="U30"/>
  <c r="U28"/>
  <c r="U26"/>
  <c r="U55"/>
  <c r="U59"/>
  <c r="W38"/>
  <c r="W55"/>
  <c r="AC26"/>
  <c r="AC30"/>
  <c r="U39"/>
  <c r="U41"/>
  <c r="U43"/>
  <c r="U45"/>
  <c r="K13" i="11"/>
  <c r="O14"/>
  <c r="O15"/>
  <c r="K11"/>
  <c r="O11"/>
  <c r="K16"/>
  <c r="O16"/>
  <c r="O12"/>
  <c r="K12"/>
  <c r="R115" i="4"/>
  <c r="R119"/>
  <c r="R123"/>
  <c r="R114"/>
  <c r="R118"/>
  <c r="R122"/>
  <c r="R29"/>
  <c r="R32" s="1"/>
  <c r="R33" s="1"/>
  <c r="R94"/>
  <c r="R97"/>
  <c r="R93"/>
  <c r="P99"/>
  <c r="P95"/>
  <c r="P91"/>
  <c r="P100"/>
  <c r="P96"/>
  <c r="P92"/>
  <c r="E11" i="9"/>
  <c r="V25" i="4" l="1"/>
  <c r="V27" s="1"/>
  <c r="R92"/>
  <c r="W92"/>
  <c r="Y92" s="1"/>
  <c r="R95"/>
  <c r="W95"/>
  <c r="Y95" s="1"/>
  <c r="R91"/>
  <c r="W91"/>
  <c r="Y91" s="1"/>
  <c r="R100"/>
  <c r="W100"/>
  <c r="Y100" s="1"/>
  <c r="R96"/>
  <c r="W96"/>
  <c r="Y96" s="1"/>
  <c r="R99"/>
  <c r="W99"/>
  <c r="Y99" s="1"/>
  <c r="H79" i="11"/>
  <c r="P44" s="1"/>
  <c r="AB18"/>
  <c r="D3" i="10"/>
  <c r="D17" s="1"/>
  <c r="D18" s="1"/>
  <c r="D25" s="1"/>
  <c r="D30" s="1"/>
  <c r="AE22" i="12" s="1"/>
  <c r="Y28" s="1"/>
  <c r="J87" i="1"/>
  <c r="J83"/>
  <c r="J88"/>
  <c r="J84"/>
  <c r="J72"/>
  <c r="J85"/>
  <c r="J73"/>
  <c r="J86"/>
  <c r="J74"/>
  <c r="U47"/>
  <c r="L13" i="12"/>
  <c r="L14" s="1"/>
  <c r="AM17"/>
  <c r="AM18" s="1"/>
  <c r="Y17"/>
  <c r="Y18" s="1"/>
  <c r="H60" i="11"/>
  <c r="W28"/>
  <c r="W38"/>
  <c r="K28"/>
  <c r="P38"/>
  <c r="K38"/>
  <c r="P28"/>
  <c r="V18"/>
  <c r="AC27" i="1"/>
  <c r="U60"/>
  <c r="AD47"/>
  <c r="AD60"/>
  <c r="AD34"/>
  <c r="W34"/>
  <c r="K60"/>
  <c r="P60"/>
  <c r="W60"/>
  <c r="K47"/>
  <c r="K34"/>
  <c r="P47"/>
  <c r="J75" s="1"/>
  <c r="W47"/>
  <c r="R126" i="4"/>
  <c r="K18" i="11"/>
  <c r="P18"/>
  <c r="AJ103" i="4" l="1"/>
  <c r="AJ105"/>
  <c r="AE12" i="12" s="1"/>
  <c r="AE13" s="1"/>
  <c r="AE14" s="1"/>
  <c r="AE15" s="1"/>
  <c r="AE16" s="1"/>
  <c r="AE17" s="1"/>
  <c r="AE18" s="1"/>
  <c r="AE23" s="1"/>
  <c r="R102" i="4"/>
  <c r="AD93" s="1"/>
  <c r="AJ93" s="1"/>
  <c r="Y102"/>
  <c r="H80" i="11"/>
  <c r="P45"/>
  <c r="AC41" s="1"/>
  <c r="N69" i="1"/>
  <c r="J82"/>
  <c r="J81"/>
  <c r="J80"/>
  <c r="J79"/>
  <c r="J78"/>
  <c r="J77"/>
  <c r="J76"/>
  <c r="AK22" i="12"/>
  <c r="AM29" s="1"/>
  <c r="AR23"/>
  <c r="AE24"/>
  <c r="L15"/>
  <c r="L16" s="1"/>
  <c r="L17" s="1"/>
  <c r="L18" s="1"/>
  <c r="Q23" s="1"/>
  <c r="H61" i="11"/>
  <c r="J58"/>
  <c r="K58" s="1"/>
  <c r="J54"/>
  <c r="K54" s="1"/>
  <c r="J50"/>
  <c r="K50" s="1"/>
  <c r="J46"/>
  <c r="K46" s="1"/>
  <c r="J56"/>
  <c r="K56" s="1"/>
  <c r="J52"/>
  <c r="K52" s="1"/>
  <c r="J48"/>
  <c r="K48" s="1"/>
  <c r="J45"/>
  <c r="K45" s="1"/>
  <c r="J57"/>
  <c r="K57" s="1"/>
  <c r="J49"/>
  <c r="K49" s="1"/>
  <c r="J59"/>
  <c r="K59" s="1"/>
  <c r="J55"/>
  <c r="K55" s="1"/>
  <c r="J51"/>
  <c r="K51" s="1"/>
  <c r="J47"/>
  <c r="K47" s="1"/>
  <c r="J53"/>
  <c r="K53" s="1"/>
  <c r="W72" i="1"/>
  <c r="W66"/>
  <c r="E17" i="7"/>
  <c r="G17" s="1"/>
  <c r="E16"/>
  <c r="G16" s="1"/>
  <c r="E15"/>
  <c r="G15" s="1"/>
  <c r="E13"/>
  <c r="G13" s="1"/>
  <c r="E12"/>
  <c r="G12" s="1"/>
  <c r="E11"/>
  <c r="E8"/>
  <c r="G5"/>
  <c r="E6" s="1"/>
  <c r="G6" s="1"/>
  <c r="G7"/>
  <c r="G8"/>
  <c r="G9"/>
  <c r="G10"/>
  <c r="G11"/>
  <c r="G14"/>
  <c r="G18"/>
  <c r="G19"/>
  <c r="G4"/>
  <c r="G28" i="4"/>
  <c r="G31"/>
  <c r="O12" i="1"/>
  <c r="I12"/>
  <c r="I21" i="3"/>
  <c r="F4"/>
  <c r="D23"/>
  <c r="I13" i="1"/>
  <c r="I14"/>
  <c r="I15"/>
  <c r="I16"/>
  <c r="I17"/>
  <c r="I18"/>
  <c r="I19"/>
  <c r="I20"/>
  <c r="K20" s="1"/>
  <c r="D114"/>
  <c r="F114" s="1"/>
  <c r="H114" s="1"/>
  <c r="D113"/>
  <c r="F113" s="1"/>
  <c r="H113" s="1"/>
  <c r="D112"/>
  <c r="F112" s="1"/>
  <c r="H112" s="1"/>
  <c r="D111"/>
  <c r="F111" s="1"/>
  <c r="H111" s="1"/>
  <c r="D110"/>
  <c r="F110" s="1"/>
  <c r="H110" s="1"/>
  <c r="D104"/>
  <c r="F104" s="1"/>
  <c r="H104" s="1"/>
  <c r="D103"/>
  <c r="F103" s="1"/>
  <c r="H103" s="1"/>
  <c r="D102"/>
  <c r="F102" s="1"/>
  <c r="H102" s="1"/>
  <c r="D101"/>
  <c r="F101" s="1"/>
  <c r="H101" s="1"/>
  <c r="D100"/>
  <c r="F100" s="1"/>
  <c r="H100" s="1"/>
  <c r="D99"/>
  <c r="F99" s="1"/>
  <c r="H99" s="1"/>
  <c r="D98"/>
  <c r="F98" s="1"/>
  <c r="H98" s="1"/>
  <c r="D97"/>
  <c r="F97" s="1"/>
  <c r="H97" s="1"/>
  <c r="D96"/>
  <c r="F96" s="1"/>
  <c r="H96" s="1"/>
  <c r="D95"/>
  <c r="F95" s="1"/>
  <c r="H95" s="1"/>
  <c r="D94"/>
  <c r="F94" s="1"/>
  <c r="H94" s="1"/>
  <c r="D73"/>
  <c r="F73" s="1"/>
  <c r="H73" s="1"/>
  <c r="D74"/>
  <c r="F74" s="1"/>
  <c r="H74" s="1"/>
  <c r="D75"/>
  <c r="F75" s="1"/>
  <c r="H75" s="1"/>
  <c r="D76"/>
  <c r="F76" s="1"/>
  <c r="H76" s="1"/>
  <c r="D77"/>
  <c r="F77" s="1"/>
  <c r="H77" s="1"/>
  <c r="D78"/>
  <c r="F78" s="1"/>
  <c r="H78" s="1"/>
  <c r="D79"/>
  <c r="F79" s="1"/>
  <c r="H79" s="1"/>
  <c r="D80"/>
  <c r="F80" s="1"/>
  <c r="H80" s="1"/>
  <c r="D81"/>
  <c r="F81" s="1"/>
  <c r="H81" s="1"/>
  <c r="D82"/>
  <c r="F82" s="1"/>
  <c r="H82" s="1"/>
  <c r="D83"/>
  <c r="F83" s="1"/>
  <c r="H83" s="1"/>
  <c r="D84"/>
  <c r="F84" s="1"/>
  <c r="H84" s="1"/>
  <c r="D85"/>
  <c r="F85" s="1"/>
  <c r="H85" s="1"/>
  <c r="D86"/>
  <c r="F86" s="1"/>
  <c r="H86" s="1"/>
  <c r="D87"/>
  <c r="F87" s="1"/>
  <c r="H87" s="1"/>
  <c r="D88"/>
  <c r="F88" s="1"/>
  <c r="H88" s="1"/>
  <c r="D72"/>
  <c r="F72" s="1"/>
  <c r="H72" s="1"/>
  <c r="K72" s="1"/>
  <c r="AD95" i="4" l="1"/>
  <c r="AE25" i="12"/>
  <c r="Y35" s="1"/>
  <c r="AA35" s="1"/>
  <c r="AJ95" i="4"/>
  <c r="AJ106" s="1"/>
  <c r="AJ100"/>
  <c r="W22" i="12"/>
  <c r="Y29" s="1"/>
  <c r="M63" i="11"/>
  <c r="AB22"/>
  <c r="AB24" s="1"/>
  <c r="W23" i="12" s="1"/>
  <c r="X68" i="1"/>
  <c r="V68" s="1"/>
  <c r="Z68" s="1"/>
  <c r="H3" i="10"/>
  <c r="H17" s="1"/>
  <c r="H18" s="1"/>
  <c r="H25" s="1"/>
  <c r="H30" s="1"/>
  <c r="AE68" i="1"/>
  <c r="W78"/>
  <c r="Z70"/>
  <c r="X70"/>
  <c r="AK23" i="12" s="1"/>
  <c r="V70" i="1"/>
  <c r="AM36" i="12"/>
  <c r="AM44"/>
  <c r="AM46"/>
  <c r="AM48"/>
  <c r="AM43"/>
  <c r="AM45"/>
  <c r="AM47"/>
  <c r="AM40"/>
  <c r="AM39"/>
  <c r="AM37"/>
  <c r="AM38"/>
  <c r="AM42"/>
  <c r="AM41"/>
  <c r="Y38"/>
  <c r="Y42"/>
  <c r="Y43"/>
  <c r="Y36"/>
  <c r="Y40"/>
  <c r="Y44"/>
  <c r="Y37"/>
  <c r="Y39"/>
  <c r="Y41"/>
  <c r="J22"/>
  <c r="L29" s="1"/>
  <c r="P21" i="3"/>
  <c r="N23"/>
  <c r="N22"/>
  <c r="O20" i="1"/>
  <c r="K18"/>
  <c r="K16"/>
  <c r="K17"/>
  <c r="K13"/>
  <c r="O14"/>
  <c r="K19"/>
  <c r="K15"/>
  <c r="G22" i="3"/>
  <c r="I22" s="1"/>
  <c r="B29"/>
  <c r="D29" s="1"/>
  <c r="G23"/>
  <c r="I23" s="1"/>
  <c r="K14" i="1"/>
  <c r="O18"/>
  <c r="O19"/>
  <c r="O15"/>
  <c r="K12"/>
  <c r="O16"/>
  <c r="O17"/>
  <c r="O13"/>
  <c r="H115"/>
  <c r="H116" s="1"/>
  <c r="H105"/>
  <c r="H106" s="1"/>
  <c r="AB28" i="11" l="1"/>
  <c r="AC40"/>
  <c r="AC42" s="1"/>
  <c r="AC44" s="1"/>
  <c r="I24" i="3"/>
  <c r="L3" i="10" s="1"/>
  <c r="L17" s="1"/>
  <c r="L18" s="1"/>
  <c r="L25" s="1"/>
  <c r="L30" s="1"/>
  <c r="Z22" i="11"/>
  <c r="Z24" s="1"/>
  <c r="AM28" i="12"/>
  <c r="AM35" s="1"/>
  <c r="AO35" s="1"/>
  <c r="AU35" s="1"/>
  <c r="AR22"/>
  <c r="AR24" s="1"/>
  <c r="AS35"/>
  <c r="AS36" s="1"/>
  <c r="AS37" s="1"/>
  <c r="AS38" s="1"/>
  <c r="AS39" s="1"/>
  <c r="AS40" s="1"/>
  <c r="AS41" s="1"/>
  <c r="AS42" s="1"/>
  <c r="AS43" s="1"/>
  <c r="AS44" s="1"/>
  <c r="AS45" s="1"/>
  <c r="AS46" s="1"/>
  <c r="AS47" s="1"/>
  <c r="AS48" s="1"/>
  <c r="L44"/>
  <c r="L43"/>
  <c r="L38"/>
  <c r="L36"/>
  <c r="L41"/>
  <c r="L39"/>
  <c r="L37"/>
  <c r="L40"/>
  <c r="L42"/>
  <c r="P23" i="3"/>
  <c r="P22"/>
  <c r="K21" i="1"/>
  <c r="P21"/>
  <c r="E33" i="3"/>
  <c r="I49" s="1"/>
  <c r="G49" s="1"/>
  <c r="H89" i="1"/>
  <c r="N68" s="1"/>
  <c r="AB34" i="11" l="1"/>
  <c r="Z28"/>
  <c r="Z34" s="1"/>
  <c r="E34" i="3"/>
  <c r="D43" s="1"/>
  <c r="J23" i="12" s="1"/>
  <c r="P24" i="3"/>
  <c r="L28" i="12"/>
  <c r="Q22"/>
  <c r="Q24" s="1"/>
  <c r="AD22" i="11"/>
  <c r="AD24" s="1"/>
  <c r="O68" i="1"/>
  <c r="AE67"/>
  <c r="AE69" s="1"/>
  <c r="AE71" s="1"/>
  <c r="X74"/>
  <c r="V74" s="1"/>
  <c r="K49" i="3"/>
  <c r="G51"/>
  <c r="D42"/>
  <c r="J24" i="12" s="1"/>
  <c r="K77" i="1"/>
  <c r="K78"/>
  <c r="K79"/>
  <c r="K80"/>
  <c r="K81"/>
  <c r="K82"/>
  <c r="K83"/>
  <c r="K84"/>
  <c r="K85"/>
  <c r="K86"/>
  <c r="K87"/>
  <c r="K88"/>
  <c r="K73"/>
  <c r="K74"/>
  <c r="K75"/>
  <c r="K76"/>
  <c r="I43" i="3"/>
  <c r="H90" i="1"/>
  <c r="Z30" i="11" l="1"/>
  <c r="AD28"/>
  <c r="AD34" s="1"/>
  <c r="L35" i="12"/>
  <c r="N35" s="1"/>
  <c r="J40"/>
  <c r="J37"/>
  <c r="J42"/>
  <c r="J43"/>
  <c r="J36"/>
  <c r="J39"/>
  <c r="J41"/>
  <c r="J25"/>
  <c r="L30" s="1"/>
  <c r="L31" s="1"/>
  <c r="J38"/>
  <c r="J44"/>
  <c r="Z74" i="1"/>
  <c r="V80"/>
  <c r="V76"/>
  <c r="G43" i="3"/>
  <c r="I45"/>
  <c r="I51"/>
  <c r="K51"/>
  <c r="X80" i="1"/>
  <c r="E35" i="3"/>
  <c r="Z36" i="11" l="1"/>
  <c r="AD30"/>
  <c r="AB30"/>
  <c r="W24" i="12" s="1"/>
  <c r="N36"/>
  <c r="N37" s="1"/>
  <c r="N38" s="1"/>
  <c r="N39" s="1"/>
  <c r="N40" s="1"/>
  <c r="N41" s="1"/>
  <c r="N42" s="1"/>
  <c r="N43" s="1"/>
  <c r="N44" s="1"/>
  <c r="X76" i="1"/>
  <c r="AK24" i="12" s="1"/>
  <c r="Z76" i="1"/>
  <c r="V82"/>
  <c r="G45" i="3"/>
  <c r="K43"/>
  <c r="K45" s="1"/>
  <c r="G55"/>
  <c r="I55"/>
  <c r="Z80" i="1"/>
  <c r="D44" i="3"/>
  <c r="AD36" i="11" l="1"/>
  <c r="AB36"/>
  <c r="W40" i="12"/>
  <c r="W25"/>
  <c r="Y30" s="1"/>
  <c r="Y31" s="1"/>
  <c r="W39"/>
  <c r="W38"/>
  <c r="W41"/>
  <c r="W37"/>
  <c r="W36"/>
  <c r="AA36" s="1"/>
  <c r="W44"/>
  <c r="W42"/>
  <c r="W43"/>
  <c r="AK44"/>
  <c r="AK45"/>
  <c r="AK40"/>
  <c r="AK41"/>
  <c r="AK43"/>
  <c r="AK42"/>
  <c r="AK37"/>
  <c r="AO37" s="1"/>
  <c r="AU37" s="1"/>
  <c r="AK36"/>
  <c r="AO36" s="1"/>
  <c r="AU36" s="1"/>
  <c r="AK46"/>
  <c r="AK47"/>
  <c r="AK38"/>
  <c r="AK39"/>
  <c r="AK48"/>
  <c r="AK25"/>
  <c r="AM30" s="1"/>
  <c r="AM31" s="1"/>
  <c r="G57" i="3"/>
  <c r="K55"/>
  <c r="X82" i="1"/>
  <c r="D46" i="3"/>
  <c r="AO38" i="12" l="1"/>
  <c r="AU38" s="1"/>
  <c r="AA37"/>
  <c r="AA38" s="1"/>
  <c r="AA39" s="1"/>
  <c r="AA40" s="1"/>
  <c r="AA41" s="1"/>
  <c r="AA42" s="1"/>
  <c r="AA43" s="1"/>
  <c r="AA44" s="1"/>
  <c r="K57" i="3"/>
  <c r="I57"/>
  <c r="Z82" i="1"/>
  <c r="AO39" i="12" l="1"/>
  <c r="AO40" s="1"/>
  <c r="AU39" l="1"/>
  <c r="AU40"/>
  <c r="AO41"/>
  <c r="AU41" l="1"/>
  <c r="AO42"/>
  <c r="AO43" l="1"/>
  <c r="AU42"/>
  <c r="AO44" l="1"/>
  <c r="AU43"/>
  <c r="AO45" l="1"/>
  <c r="AU44"/>
  <c r="AO46" l="1"/>
  <c r="AU45"/>
  <c r="AO47" l="1"/>
  <c r="AU46"/>
  <c r="AO48" l="1"/>
  <c r="AU48" s="1"/>
  <c r="AU47"/>
</calcChain>
</file>

<file path=xl/sharedStrings.xml><?xml version="1.0" encoding="utf-8"?>
<sst xmlns="http://schemas.openxmlformats.org/spreadsheetml/2006/main" count="914" uniqueCount="329">
  <si>
    <t xml:space="preserve">Nombre </t>
  </si>
  <si>
    <t>Nº Unid.</t>
  </si>
  <si>
    <t>Frigorif. Bebidas Energ.</t>
  </si>
  <si>
    <t>Consumo (W)</t>
  </si>
  <si>
    <t xml:space="preserve"> GIMNASIO ATLAS</t>
  </si>
  <si>
    <t>Equipo de Sonido</t>
  </si>
  <si>
    <t>Horas Uso Diario (h)</t>
  </si>
  <si>
    <r>
      <t>TV (</t>
    </r>
    <r>
      <rPr>
        <i/>
        <sz val="11"/>
        <color theme="1"/>
        <rFont val="Calibri"/>
        <family val="2"/>
        <scheme val="minor"/>
      </rPr>
      <t>LED, 24p</t>
    </r>
    <r>
      <rPr>
        <sz val="11"/>
        <color theme="1"/>
        <rFont val="Calibri"/>
        <family val="2"/>
        <scheme val="minor"/>
      </rPr>
      <t>)</t>
    </r>
  </si>
  <si>
    <t>Router WiFi</t>
  </si>
  <si>
    <t>Extractor Aire Sala</t>
  </si>
  <si>
    <t>Extractor Aire Baños</t>
  </si>
  <si>
    <t>Secador Pelo</t>
  </si>
  <si>
    <t>Horario Normal</t>
  </si>
  <si>
    <t>Horario Sabado</t>
  </si>
  <si>
    <t>Horario Domingo</t>
  </si>
  <si>
    <t>Focos Sala</t>
  </si>
  <si>
    <t>Focos Flexo</t>
  </si>
  <si>
    <t>6.45-22:30h</t>
  </si>
  <si>
    <t>Horas Tot.</t>
  </si>
  <si>
    <t>15:45h</t>
  </si>
  <si>
    <t>8:00-20:00h</t>
  </si>
  <si>
    <t>9:00-14:00h</t>
  </si>
  <si>
    <t>(3 x 7 W)</t>
  </si>
  <si>
    <t>12:00h</t>
  </si>
  <si>
    <t>5:00h</t>
  </si>
  <si>
    <t>GIMNASIO ATLAS</t>
  </si>
  <si>
    <t>6:45-7:00h</t>
  </si>
  <si>
    <t>Nº Bicicletas Usadas</t>
  </si>
  <si>
    <t>7-8h</t>
  </si>
  <si>
    <t>8-9h</t>
  </si>
  <si>
    <t>9-10h</t>
  </si>
  <si>
    <t>10-11h</t>
  </si>
  <si>
    <t>11-12h</t>
  </si>
  <si>
    <t>12-13h</t>
  </si>
  <si>
    <t>13-14h</t>
  </si>
  <si>
    <t>14-15h</t>
  </si>
  <si>
    <t>15-16h</t>
  </si>
  <si>
    <t>16-17h</t>
  </si>
  <si>
    <t>17-18h</t>
  </si>
  <si>
    <t>18-19h</t>
  </si>
  <si>
    <t>19-20h</t>
  </si>
  <si>
    <t>20-21h</t>
  </si>
  <si>
    <t>21-22h</t>
  </si>
  <si>
    <t>22-22:30h</t>
  </si>
  <si>
    <t xml:space="preserve">% Lleno </t>
  </si>
  <si>
    <t>Nº Bicicletas Gimnasio</t>
  </si>
  <si>
    <t>Wattios generad. por bici</t>
  </si>
  <si>
    <t>Julios Totales al dia</t>
  </si>
  <si>
    <t>Julios Totales al dia (J)</t>
  </si>
  <si>
    <t>GIMNASIO ESTADIO</t>
  </si>
  <si>
    <t>Horario Fines</t>
  </si>
  <si>
    <t>7:00-22:00h</t>
  </si>
  <si>
    <t>8:00-22:00h</t>
  </si>
  <si>
    <t>Horario Entre Semana</t>
  </si>
  <si>
    <t>Horario Sábado</t>
  </si>
  <si>
    <t>Horario Fines Semana</t>
  </si>
  <si>
    <t>ATLAS</t>
  </si>
  <si>
    <t>ESTADIO</t>
  </si>
  <si>
    <t>Consumo Diario (Wh)</t>
  </si>
  <si>
    <t>Consumo Semanal (Wh)</t>
  </si>
  <si>
    <t xml:space="preserve">Wattios Totales Semana </t>
  </si>
  <si>
    <t xml:space="preserve"> GIMNASIO ESTADIO</t>
  </si>
  <si>
    <t>15:00h</t>
  </si>
  <si>
    <t>14:00h</t>
  </si>
  <si>
    <t xml:space="preserve"> SPINNING ESTADIO</t>
  </si>
  <si>
    <t>Nº Metros cuadrados</t>
  </si>
  <si>
    <t>Spinning Normal</t>
  </si>
  <si>
    <t>Triatlon Femenino</t>
  </si>
  <si>
    <t>Horas a la Semana</t>
  </si>
  <si>
    <t>Triatlon Juvenil</t>
  </si>
  <si>
    <t>Urkide + Slow</t>
  </si>
  <si>
    <t>Horas Tot. Entre Semana</t>
  </si>
  <si>
    <t>Watt. generad. por bici</t>
  </si>
  <si>
    <t>Equilibrio Potencias = 212,85W/bici</t>
  </si>
  <si>
    <t>Si Potencia/bici = 250w</t>
  </si>
  <si>
    <t>31h x 30 bici x 200W/bici</t>
  </si>
  <si>
    <t>Número de focos de luz</t>
  </si>
  <si>
    <t>Usando una media de 1 foco/10m2</t>
  </si>
  <si>
    <t>Estimando un espacio de "x" m2</t>
  </si>
  <si>
    <t>Beneficio/Pérdida (W)</t>
  </si>
  <si>
    <t>% Ocup./3</t>
  </si>
  <si>
    <t>Nombre Aparato Eléct.</t>
  </si>
  <si>
    <t xml:space="preserve">Wh Totales Semana </t>
  </si>
  <si>
    <t>Consumo por Hora (W)</t>
  </si>
  <si>
    <t>W Totales por Hora</t>
  </si>
  <si>
    <t>Diferencia</t>
  </si>
  <si>
    <t>Nombre Aparat. Eléct.</t>
  </si>
  <si>
    <t>Tabla Características del Panel</t>
  </si>
  <si>
    <t>Precio kwh</t>
  </si>
  <si>
    <t>Beneficio generación</t>
  </si>
  <si>
    <t>semanales</t>
  </si>
  <si>
    <t>Coste Consumo Red</t>
  </si>
  <si>
    <t>anuales</t>
  </si>
  <si>
    <t>Horas Uso Semanales (h)</t>
  </si>
  <si>
    <t>B (+) / P(-)</t>
  </si>
  <si>
    <t>3 EDIFICIOS SOBRE LOS QUE COLOCAR PLACAS FOTOVOLTAICAS:</t>
  </si>
  <si>
    <t>EDIFICIO C:</t>
  </si>
  <si>
    <t>EDIFICIO B:</t>
  </si>
  <si>
    <t>EDIFICIO A:</t>
  </si>
  <si>
    <t>Superficie total (m2)</t>
  </si>
  <si>
    <t>Reforma Piscinas</t>
  </si>
  <si>
    <t>Ancho (m)</t>
  </si>
  <si>
    <t>Largo (m)</t>
  </si>
  <si>
    <t>Dos aguas (m2)</t>
  </si>
  <si>
    <t>Actividad</t>
  </si>
  <si>
    <t>Nombre</t>
  </si>
  <si>
    <t>Fecha de Inicio</t>
  </si>
  <si>
    <t>Duración</t>
  </si>
  <si>
    <t>Fecha de Terminación</t>
  </si>
  <si>
    <t>Diseño</t>
  </si>
  <si>
    <t>Gestión de compras</t>
  </si>
  <si>
    <t>Montaje</t>
  </si>
  <si>
    <t>Realización pruebas laboratorio</t>
  </si>
  <si>
    <t>Conclusiones</t>
  </si>
  <si>
    <t>Redacción del Documento</t>
  </si>
  <si>
    <t xml:space="preserve">   Contextualización y Bocetos</t>
  </si>
  <si>
    <t xml:space="preserve">   Primer montaje</t>
  </si>
  <si>
    <t xml:space="preserve">   Resultado y reevaluación</t>
  </si>
  <si>
    <t xml:space="preserve">   Segundo montaje</t>
  </si>
  <si>
    <t xml:space="preserve">   Comprobación funcionamiento</t>
  </si>
  <si>
    <t xml:space="preserve">   Cálculos</t>
  </si>
  <si>
    <t xml:space="preserve">   Evaluación de Resultados</t>
  </si>
  <si>
    <t xml:space="preserve">   Mejora de Medidas</t>
  </si>
  <si>
    <t xml:space="preserve">   Llegada de pedido elem. Eléct.</t>
  </si>
  <si>
    <t xml:space="preserve">   Elección element. de instalac.</t>
  </si>
  <si>
    <t>Consumo Diario (€)</t>
  </si>
  <si>
    <t>Consumo Semanal (€)</t>
  </si>
  <si>
    <t>Consumo Anual (€)</t>
  </si>
  <si>
    <t>Consumo Diario (kWh)</t>
  </si>
  <si>
    <t>Consumo Semanal (kWh)</t>
  </si>
  <si>
    <t>Consumo Anual (kWh)</t>
  </si>
  <si>
    <t>Precio €/kWh</t>
  </si>
  <si>
    <t>Precio €/kwh</t>
  </si>
  <si>
    <t>Generación Diaria (kWh)</t>
  </si>
  <si>
    <t>Generación Semanal (kWh)</t>
  </si>
  <si>
    <t>Generación Anual (kWh)</t>
  </si>
  <si>
    <t>Generación Diaria (€)</t>
  </si>
  <si>
    <t>Generación Semanal (€)</t>
  </si>
  <si>
    <t>Generación Anual (€)</t>
  </si>
  <si>
    <t>Beneficio Diario (kWh)</t>
  </si>
  <si>
    <t>Beneficio Semanal (kWh)</t>
  </si>
  <si>
    <t>Beneficio Anual (kWh)</t>
  </si>
  <si>
    <t>Beneficio Diario (€)</t>
  </si>
  <si>
    <t>Beneficio Semanal (€)</t>
  </si>
  <si>
    <t>PRESUPUESTO PROYECTO</t>
  </si>
  <si>
    <t>Costes Directos</t>
  </si>
  <si>
    <t>Indirectos</t>
  </si>
  <si>
    <t>Subtotal 1</t>
  </si>
  <si>
    <t>Imprevistos</t>
  </si>
  <si>
    <t>Subtotal 2</t>
  </si>
  <si>
    <t>Financieros</t>
  </si>
  <si>
    <t>Coste Eléctrico (€/h)</t>
  </si>
  <si>
    <t>Coste Operario (€/h)</t>
  </si>
  <si>
    <t>Costes Indirectos</t>
  </si>
  <si>
    <t>Costes Financieros</t>
  </si>
  <si>
    <t>0'14</t>
  </si>
  <si>
    <t>Coste Ingeniería (€/h)</t>
  </si>
  <si>
    <t>Generador</t>
  </si>
  <si>
    <t>Cálculo Relación Tren Transmisión</t>
  </si>
  <si>
    <t>Diámetro Volante Inercia (m)</t>
  </si>
  <si>
    <t>Velocidad Volante Inercia (rpm)</t>
  </si>
  <si>
    <t>Diámetro Rueda 2 (m)</t>
  </si>
  <si>
    <t>Velocidad Rueda 2 (rpm)</t>
  </si>
  <si>
    <t>Diámetro Rueda 3 (m)</t>
  </si>
  <si>
    <t>Velocidad Rueda 3 (rpm)</t>
  </si>
  <si>
    <t>Diámetro Rueda 4 (m)</t>
  </si>
  <si>
    <t>Polea</t>
  </si>
  <si>
    <t>Presupuesto Gener. Unit.</t>
  </si>
  <si>
    <t>Correa</t>
  </si>
  <si>
    <t>Eje</t>
  </si>
  <si>
    <t>Nº Bicicletas</t>
  </si>
  <si>
    <t>Subtotal General</t>
  </si>
  <si>
    <t>Subtotal Unitario</t>
  </si>
  <si>
    <t>Coste Total Instalación Bicicletas</t>
  </si>
  <si>
    <t>Operario</t>
  </si>
  <si>
    <t>7% de los Cost. Direct.</t>
  </si>
  <si>
    <t>10% de los Cost. Tot.</t>
  </si>
  <si>
    <t>4% Cost. Tot. + Imprev.</t>
  </si>
  <si>
    <t>Rentabilidad Spinning</t>
  </si>
  <si>
    <t xml:space="preserve">Coste Total Instalación </t>
  </si>
  <si>
    <t>Coste Consumo Red (Anual)</t>
  </si>
  <si>
    <t>Beneficio Instalac. Gen. (Anual)</t>
  </si>
  <si>
    <t>Periodo Amortización (Años)</t>
  </si>
  <si>
    <t>Energía Obtenida Semanal (Wh)</t>
  </si>
  <si>
    <t xml:space="preserve">Energía Consumida Semanal (Wh) </t>
  </si>
  <si>
    <t>Energía Consumida Semanal (Wh)</t>
  </si>
  <si>
    <t>Energía gen. Semanal</t>
  </si>
  <si>
    <t>Beneficio Anual (€)</t>
  </si>
  <si>
    <t>CÁLCULOS PVGIS - EDIFICIOS ESTADIO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</si>
  <si>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</si>
  <si>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</si>
  <si>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</si>
  <si>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</si>
  <si>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</si>
  <si>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</si>
  <si>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</si>
  <si>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</si>
  <si>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</si>
  <si>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</si>
  <si>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</si>
  <si>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</si>
  <si>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Horas Solares Wp/dia</t>
  </si>
  <si>
    <t>Año</t>
  </si>
  <si>
    <t>H (53) (Wh/m^2/dia)</t>
  </si>
  <si>
    <t>Energía Generada (Wh/día)</t>
  </si>
  <si>
    <t>Potencia Panel (W)</t>
  </si>
  <si>
    <t>Altura Panel (m)</t>
  </si>
  <si>
    <t>Anchura Panel (m)</t>
  </si>
  <si>
    <t>Horas Solares (Wp/dia)</t>
  </si>
  <si>
    <t>Energía Generada Mensual (Wh)</t>
  </si>
  <si>
    <t>Año (Media)</t>
  </si>
  <si>
    <t>Energía Generada Anual (Wh)</t>
  </si>
  <si>
    <t>Distancia "d" Recomendada (m)</t>
  </si>
  <si>
    <t>L (m)</t>
  </si>
  <si>
    <t>β</t>
  </si>
  <si>
    <t>Lat (Grados)</t>
  </si>
  <si>
    <t>Lat (Radianes)</t>
  </si>
  <si>
    <t>senβ</t>
  </si>
  <si>
    <t>cosβ</t>
  </si>
  <si>
    <t>Inclinación (Grados)</t>
  </si>
  <si>
    <t>Latitud (Grados)</t>
  </si>
  <si>
    <t>tan (61)</t>
  </si>
  <si>
    <t>d (m)</t>
  </si>
  <si>
    <t>d Final (m)</t>
  </si>
  <si>
    <t>Precio Electricidad 
(€ / kWh)</t>
  </si>
  <si>
    <t>Panel FV de 
W</t>
  </si>
  <si>
    <t>Energía Generada 
Anual / Panel (kWh)</t>
  </si>
  <si>
    <t>Ahorro / Ganancia 
Anual / Panel (€)</t>
  </si>
  <si>
    <t>Paneles en Edificio A</t>
  </si>
  <si>
    <t xml:space="preserve">Largo </t>
  </si>
  <si>
    <t>Ancho</t>
  </si>
  <si>
    <t>Ahorro / Ganancia 
Anual (€)</t>
  </si>
  <si>
    <t>Energía Generada 
Anual (kWh)</t>
  </si>
  <si>
    <t>EDIFICIO PLANO (A)</t>
  </si>
  <si>
    <t>Total</t>
  </si>
  <si>
    <t>Energia por suplir (-) ó excedente (+)</t>
  </si>
  <si>
    <t>Porcentaje de ocupación(%)</t>
  </si>
  <si>
    <t>TEMPORADA</t>
  </si>
  <si>
    <t>VERANO</t>
  </si>
  <si>
    <t>Escuela Triatlon</t>
  </si>
  <si>
    <t>Aire Acondicionado Sala</t>
  </si>
  <si>
    <t>Clima</t>
  </si>
  <si>
    <t>Cintas Correr</t>
  </si>
  <si>
    <t>PC</t>
  </si>
  <si>
    <t xml:space="preserve">TV </t>
  </si>
  <si>
    <r>
      <t>H (33) (Wh/m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/dia)</t>
    </r>
  </si>
  <si>
    <t>Caracteristicas Bateria</t>
  </si>
  <si>
    <t>Batería UPower 550Ah 24V UP-GC16</t>
  </si>
  <si>
    <t>Voltaje (V)</t>
  </si>
  <si>
    <t>Capacidad (Ah)</t>
  </si>
  <si>
    <t>Precio (€)</t>
  </si>
  <si>
    <t>Cálculos Capacidad de las Baterías</t>
  </si>
  <si>
    <t>Prof. Descarga (%)</t>
  </si>
  <si>
    <t>Coef. Reduct. Temp.</t>
  </si>
  <si>
    <t>Cap. Sist. Acumulación (Ah)</t>
  </si>
  <si>
    <t>Nº de días sin aporte solar</t>
  </si>
  <si>
    <t>Presupuesto Baterías</t>
  </si>
  <si>
    <t>Caracteristicas Baterías</t>
  </si>
  <si>
    <t>Nº Bat. Paralelo</t>
  </si>
  <si>
    <t>Nº Bat. Serie</t>
  </si>
  <si>
    <t>Precio total Baterías</t>
  </si>
  <si>
    <t>Capacidad Útil Bat (Ah)</t>
  </si>
  <si>
    <t>Entre Semana</t>
  </si>
  <si>
    <t>Sábado</t>
  </si>
  <si>
    <t>Domingo</t>
  </si>
  <si>
    <t>Equiv.</t>
  </si>
  <si>
    <t>Fines de Semana</t>
  </si>
  <si>
    <t>Semanal</t>
  </si>
  <si>
    <t>Precio Individual del Panel (€)</t>
  </si>
  <si>
    <t>Precio kWh</t>
  </si>
  <si>
    <t>Benef. Gen. Semanal</t>
  </si>
  <si>
    <t>Coste Consumo Semanal</t>
  </si>
  <si>
    <t>Energia Generada
Semanal (kWh)</t>
  </si>
  <si>
    <r>
      <t xml:space="preserve">     </t>
    </r>
    <r>
      <rPr>
        <i/>
        <sz val="11"/>
        <color theme="1"/>
        <rFont val="Calibri"/>
        <family val="2"/>
        <scheme val="minor"/>
      </rPr>
      <t>Correa Subtotal</t>
    </r>
  </si>
  <si>
    <t xml:space="preserve">     Polea Subtotal</t>
  </si>
  <si>
    <t xml:space="preserve">     Ejes Subtotal</t>
  </si>
  <si>
    <t>Ingresos</t>
  </si>
  <si>
    <t>Gastos</t>
  </si>
  <si>
    <t>Año 0</t>
  </si>
  <si>
    <t>Año 1</t>
  </si>
  <si>
    <t>Año 2</t>
  </si>
  <si>
    <t>Año 3</t>
  </si>
  <si>
    <t>Año 4</t>
  </si>
  <si>
    <t>Año 5</t>
  </si>
  <si>
    <t>Flujo Acumulado</t>
  </si>
  <si>
    <t>Presup. Gener. Total</t>
  </si>
  <si>
    <t>Rentabilidad Gimnasio Atlas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</si>
  <si>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</si>
  <si>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</si>
  <si>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</si>
  <si>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</si>
  <si>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</si>
  <si>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</si>
  <si>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</si>
  <si>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</si>
  <si>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Número de Paneles</t>
  </si>
  <si>
    <t>Coste Total Base de los Paneles (€)</t>
  </si>
  <si>
    <t>Coste Total Instalación Fotovoltaica</t>
  </si>
  <si>
    <t>Coste Total General</t>
  </si>
  <si>
    <t>Rentabilidad Fitness</t>
  </si>
  <si>
    <t xml:space="preserve">Wh Totales Entre Semana </t>
  </si>
  <si>
    <t xml:space="preserve">Wh Totales Sábado </t>
  </si>
  <si>
    <t xml:space="preserve">Wh Totales Domingo </t>
  </si>
  <si>
    <t>Diferencia: Beneficio - Pérdidas (Wh)</t>
  </si>
  <si>
    <t xml:space="preserve">Wh Totales  Entre Semana </t>
  </si>
  <si>
    <t>Wh Totales Fines de Semana</t>
  </si>
  <si>
    <t>Wh Totales Entre Semana</t>
  </si>
  <si>
    <t>Wh Totales al dia</t>
  </si>
  <si>
    <t>Rendimiento de la Instalación (%)</t>
  </si>
  <si>
    <t>Potencia (W)</t>
  </si>
  <si>
    <t>Gananc. - Coste Anual</t>
  </si>
  <si>
    <t>Ganancia (+) - Coste (-)</t>
  </si>
  <si>
    <t>Cost. Mantenimiento Anual</t>
  </si>
  <si>
    <t>Coste Total Baterías</t>
  </si>
  <si>
    <t>Energía Consum. Diaria (Wh)</t>
  </si>
  <si>
    <t>Sala Fitness</t>
  </si>
  <si>
    <t>Gimnasio Atlas</t>
  </si>
  <si>
    <t>Sala de Spinning</t>
  </si>
  <si>
    <t>Wh Totales al dia (Wh)</t>
  </si>
  <si>
    <t>Wh generados (Wh)</t>
  </si>
  <si>
    <r>
      <t xml:space="preserve">Realizar el montaje en cada bicicleta cuesta al operario: </t>
    </r>
    <r>
      <rPr>
        <b/>
        <sz val="11"/>
        <color theme="1"/>
        <rFont val="Calibri"/>
        <family val="2"/>
        <scheme val="minor"/>
      </rPr>
      <t>mins.</t>
    </r>
  </si>
  <si>
    <t>Ahorro ó Ganancia (Anual)</t>
  </si>
  <si>
    <t>Wh Totales por Hora</t>
  </si>
  <si>
    <t>Sin Instalación</t>
  </si>
  <si>
    <t>Con Instalación</t>
  </si>
  <si>
    <t>Puntos de la Tabla a Rellenar</t>
  </si>
  <si>
    <t>Volante de Inercia (Rueda 1)</t>
  </si>
  <si>
    <t>Generador Eléctrico (Rueda 4)</t>
  </si>
  <si>
    <t>Velocidad Rueda 4 (rpm)</t>
  </si>
</sst>
</file>

<file path=xl/styles.xml><?xml version="1.0" encoding="utf-8"?>
<styleSheet xmlns="http://schemas.openxmlformats.org/spreadsheetml/2006/main">
  <numFmts count="10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C0A]General"/>
    <numFmt numFmtId="165" formatCode="#,##0.00&quot; &quot;[$€-C0A];[Red]&quot;-&quot;#,##0.00&quot; &quot;[$€-C0A]"/>
    <numFmt numFmtId="166" formatCode="_-* #,##0.00\ [$€-C0A]_-;\-* #,##0.00\ [$€-C0A]_-;_-* &quot;-&quot;??\ [$€-C0A]_-;_-@_-"/>
    <numFmt numFmtId="167" formatCode="#,##0.00\ &quot;€&quot;"/>
    <numFmt numFmtId="168" formatCode="0.0"/>
    <numFmt numFmtId="169" formatCode="0.000"/>
    <numFmt numFmtId="170" formatCode="#,##0\ &quot;€&quot;"/>
  </numFmts>
  <fonts count="15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3CAFF"/>
        <bgColor rgb="FF83CAFF"/>
      </patternFill>
    </fill>
    <fill>
      <patternFill patternType="solid">
        <fgColor rgb="FFFFCC99"/>
        <bgColor rgb="FFFFCC99"/>
      </patternFill>
    </fill>
    <fill>
      <patternFill patternType="solid">
        <fgColor rgb="FFAECF00"/>
        <bgColor rgb="FFAECF00"/>
      </patternFill>
    </fill>
    <fill>
      <patternFill patternType="solid">
        <fgColor rgb="FFFFFF99"/>
        <bgColor rgb="FFFFFF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FCA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164" fontId="5" fillId="0" borderId="0"/>
    <xf numFmtId="9" fontId="4" fillId="0" borderId="0" applyFont="0" applyFill="0" applyBorder="0" applyAlignment="0" applyProtection="0"/>
  </cellStyleXfs>
  <cellXfs count="33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/>
    <xf numFmtId="1" fontId="0" fillId="0" borderId="1" xfId="0" applyNumberFormat="1" applyBorder="1"/>
    <xf numFmtId="0" fontId="2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/>
    <xf numFmtId="0" fontId="0" fillId="0" borderId="4" xfId="0" applyBorder="1" applyAlignment="1"/>
    <xf numFmtId="0" fontId="0" fillId="0" borderId="5" xfId="0" applyBorder="1"/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5" fillId="0" borderId="0" xfId="2" applyFont="1" applyFill="1" applyAlignment="1" applyProtection="1"/>
    <xf numFmtId="164" fontId="5" fillId="14" borderId="14" xfId="2" applyFont="1" applyFill="1" applyBorder="1" applyAlignment="1" applyProtection="1"/>
    <xf numFmtId="164" fontId="5" fillId="0" borderId="14" xfId="2" applyFont="1" applyFill="1" applyBorder="1" applyAlignment="1" applyProtection="1"/>
    <xf numFmtId="164" fontId="5" fillId="0" borderId="0" xfId="2" applyFont="1" applyFill="1" applyAlignment="1" applyProtection="1">
      <alignment horizontal="center"/>
    </xf>
    <xf numFmtId="165" fontId="6" fillId="0" borderId="14" xfId="2" applyNumberFormat="1" applyFont="1" applyFill="1" applyBorder="1" applyAlignment="1" applyProtection="1">
      <alignment horizontal="center"/>
    </xf>
    <xf numFmtId="166" fontId="5" fillId="0" borderId="14" xfId="2" applyNumberFormat="1" applyFont="1" applyFill="1" applyBorder="1" applyAlignment="1" applyProtection="1">
      <alignment horizontal="center" vertical="center"/>
    </xf>
    <xf numFmtId="44" fontId="5" fillId="0" borderId="14" xfId="1" applyFont="1" applyFill="1" applyBorder="1" applyAlignment="1" applyProtection="1">
      <alignment horizontal="center"/>
    </xf>
    <xf numFmtId="166" fontId="5" fillId="0" borderId="16" xfId="2" applyNumberFormat="1" applyFont="1" applyFill="1" applyBorder="1" applyAlignment="1" applyProtection="1">
      <alignment horizontal="center" vertical="center"/>
    </xf>
    <xf numFmtId="44" fontId="5" fillId="0" borderId="16" xfId="1" applyFont="1" applyFill="1" applyBorder="1" applyAlignment="1" applyProtection="1">
      <alignment horizontal="center"/>
    </xf>
    <xf numFmtId="165" fontId="6" fillId="0" borderId="16" xfId="2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1" xfId="0" applyFont="1" applyBorder="1"/>
    <xf numFmtId="14" fontId="0" fillId="0" borderId="1" xfId="0" applyNumberFormat="1" applyBorder="1"/>
    <xf numFmtId="0" fontId="0" fillId="16" borderId="1" xfId="0" applyFill="1" applyBorder="1" applyAlignment="1">
      <alignment horizontal="center"/>
    </xf>
    <xf numFmtId="0" fontId="3" fillId="5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18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0" fontId="0" fillId="8" borderId="2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167" fontId="0" fillId="8" borderId="1" xfId="0" applyNumberFormat="1" applyFill="1" applyBorder="1" applyAlignment="1">
      <alignment horizontal="center"/>
    </xf>
    <xf numFmtId="167" fontId="3" fillId="2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/>
    <xf numFmtId="1" fontId="0" fillId="0" borderId="0" xfId="0" applyNumberFormat="1" applyBorder="1"/>
    <xf numFmtId="1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9" fontId="0" fillId="0" borderId="0" xfId="3" applyFont="1" applyFill="1" applyBorder="1"/>
    <xf numFmtId="167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/>
    <xf numFmtId="17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9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9" fontId="0" fillId="0" borderId="1" xfId="3" applyFont="1" applyBorder="1" applyAlignment="1">
      <alignment horizontal="center"/>
    </xf>
    <xf numFmtId="2" fontId="0" fillId="0" borderId="0" xfId="0" applyNumberFormat="1"/>
    <xf numFmtId="2" fontId="0" fillId="18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1" xfId="1" applyNumberFormat="1" applyFont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14" fillId="0" borderId="25" xfId="0" applyFont="1" applyFill="1" applyBorder="1" applyAlignment="1"/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8" borderId="42" xfId="0" applyFill="1" applyBorder="1"/>
    <xf numFmtId="0" fontId="0" fillId="9" borderId="26" xfId="0" applyFill="1" applyBorder="1"/>
    <xf numFmtId="0" fontId="0" fillId="11" borderId="42" xfId="0" applyFill="1" applyBorder="1"/>
    <xf numFmtId="0" fontId="0" fillId="11" borderId="2" xfId="0" applyFill="1" applyBorder="1"/>
    <xf numFmtId="167" fontId="0" fillId="0" borderId="0" xfId="0" applyNumberFormat="1" applyBorder="1" applyAlignment="1">
      <alignment horizontal="center"/>
    </xf>
    <xf numFmtId="0" fontId="13" fillId="8" borderId="1" xfId="0" applyFont="1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22" borderId="2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" xfId="0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5" fillId="13" borderId="14" xfId="2" applyFont="1" applyFill="1" applyBorder="1" applyAlignment="1" applyProtection="1">
      <alignment horizontal="center"/>
    </xf>
    <xf numFmtId="164" fontId="5" fillId="12" borderId="14" xfId="2" applyFont="1" applyFill="1" applyBorder="1" applyAlignment="1" applyProtection="1">
      <alignment horizontal="center"/>
    </xf>
    <xf numFmtId="164" fontId="5" fillId="15" borderId="14" xfId="2" applyFont="1" applyFill="1" applyBorder="1" applyAlignment="1" applyProtection="1">
      <alignment horizontal="center"/>
    </xf>
    <xf numFmtId="164" fontId="6" fillId="15" borderId="14" xfId="2" applyFont="1" applyFill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0" fontId="0" fillId="19" borderId="1" xfId="0" applyFill="1" applyBorder="1" applyAlignment="1">
      <alignment horizontal="center"/>
    </xf>
    <xf numFmtId="2" fontId="0" fillId="19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13" fillId="8" borderId="5" xfId="0" applyFont="1" applyFill="1" applyBorder="1" applyAlignment="1">
      <alignment horizontal="center" vertical="center" textRotation="90"/>
    </xf>
    <xf numFmtId="0" fontId="13" fillId="8" borderId="24" xfId="0" applyFont="1" applyFill="1" applyBorder="1" applyAlignment="1">
      <alignment horizontal="center" vertical="center" textRotation="90"/>
    </xf>
    <xf numFmtId="0" fontId="13" fillId="8" borderId="23" xfId="0" applyFont="1" applyFill="1" applyBorder="1" applyAlignment="1">
      <alignment horizontal="center" vertical="center" textRotation="90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3" fillId="11" borderId="6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0" fillId="20" borderId="2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3" fillId="10" borderId="6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170" fontId="0" fillId="0" borderId="6" xfId="0" applyNumberForma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70" fontId="0" fillId="0" borderId="21" xfId="0" applyNumberFormat="1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5" fillId="0" borderId="0" xfId="2" applyFont="1" applyFill="1" applyBorder="1" applyAlignment="1" applyProtection="1">
      <alignment horizontal="center"/>
    </xf>
    <xf numFmtId="0" fontId="0" fillId="11" borderId="6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164" fontId="5" fillId="0" borderId="14" xfId="2" applyFont="1" applyFill="1" applyBorder="1" applyAlignment="1" applyProtection="1">
      <alignment horizontal="center"/>
    </xf>
    <xf numFmtId="0" fontId="0" fillId="8" borderId="3" xfId="0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3" fillId="20" borderId="6" xfId="0" applyFont="1" applyFill="1" applyBorder="1" applyAlignment="1">
      <alignment horizontal="center" wrapText="1"/>
    </xf>
    <xf numFmtId="0" fontId="3" fillId="20" borderId="15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167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23" borderId="2" xfId="0" applyFont="1" applyFill="1" applyBorder="1" applyAlignment="1">
      <alignment horizontal="center"/>
    </xf>
    <xf numFmtId="0" fontId="3" fillId="23" borderId="7" xfId="0" applyFont="1" applyFill="1" applyBorder="1" applyAlignment="1">
      <alignment horizontal="center"/>
    </xf>
    <xf numFmtId="0" fontId="3" fillId="23" borderId="3" xfId="0" applyFont="1" applyFill="1" applyBorder="1" applyAlignment="1">
      <alignment horizontal="center"/>
    </xf>
    <xf numFmtId="0" fontId="0" fillId="8" borderId="2" xfId="0" applyFill="1" applyBorder="1" applyAlignment="1"/>
    <xf numFmtId="0" fontId="0" fillId="8" borderId="3" xfId="0" applyFill="1" applyBorder="1" applyAlignment="1"/>
    <xf numFmtId="0" fontId="0" fillId="8" borderId="1" xfId="0" applyFill="1" applyBorder="1" applyAlignment="1"/>
    <xf numFmtId="0" fontId="0" fillId="20" borderId="3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" fillId="8" borderId="1" xfId="0" applyFont="1" applyFill="1" applyBorder="1" applyAlignment="1"/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 wrapText="1"/>
    </xf>
    <xf numFmtId="0" fontId="2" fillId="8" borderId="2" xfId="0" applyFont="1" applyFill="1" applyBorder="1" applyAlignment="1"/>
    <xf numFmtId="0" fontId="2" fillId="8" borderId="3" xfId="0" applyFont="1" applyFill="1" applyBorder="1" applyAlignment="1"/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</cellXfs>
  <cellStyles count="4">
    <cellStyle name="Excel Built-in Normal" xfId="2"/>
    <cellStyle name="Moneda" xfId="1" builtinId="4"/>
    <cellStyle name="Normal" xfId="0" builtinId="0"/>
    <cellStyle name="Porcentual" xfId="3" builtinId="5"/>
  </cellStyles>
  <dxfs count="0"/>
  <tableStyles count="0" defaultTableStyle="TableStyleMedium9" defaultPivotStyle="PivotStyleLight16"/>
  <colors>
    <mruColors>
      <color rgb="FFD9FCAE"/>
      <color rgb="FF00CC99"/>
      <color rgb="FF99CC00"/>
      <color rgb="FFFFFFCC"/>
      <color rgb="FFFFFF99"/>
      <color rgb="FF87FD9D"/>
      <color rgb="FF6CE26C"/>
      <color rgb="FF99FF33"/>
      <color rgb="FFCCFF33"/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0"/>
  <c:chart>
    <c:plotArea>
      <c:layout>
        <c:manualLayout>
          <c:layoutTarget val="inner"/>
          <c:xMode val="edge"/>
          <c:yMode val="edge"/>
          <c:x val="9.6890366390248714E-2"/>
          <c:y val="0.17640803007732395"/>
          <c:w val="0.64605866231519604"/>
          <c:h val="0.74244761296730133"/>
        </c:manualLayout>
      </c:layout>
      <c:areaChart>
        <c:grouping val="standard"/>
        <c:ser>
          <c:idx val="0"/>
          <c:order val="0"/>
          <c:tx>
            <c:v>W generada/h</c:v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val>
            <c:numRef>
              <c:f>ATLAS!$H$72:$H$88</c:f>
              <c:numCache>
                <c:formatCode>General</c:formatCode>
                <c:ptCount val="17"/>
                <c:pt idx="0">
                  <c:v>250.00000000000006</c:v>
                </c:pt>
                <c:pt idx="1">
                  <c:v>750</c:v>
                </c:pt>
                <c:pt idx="2">
                  <c:v>2250.0000000000005</c:v>
                </c:pt>
                <c:pt idx="3">
                  <c:v>2500</c:v>
                </c:pt>
                <c:pt idx="4">
                  <c:v>2500</c:v>
                </c:pt>
                <c:pt idx="5">
                  <c:v>2250.0000000000005</c:v>
                </c:pt>
                <c:pt idx="6">
                  <c:v>1500</c:v>
                </c:pt>
                <c:pt idx="7">
                  <c:v>1000.0000000000002</c:v>
                </c:pt>
                <c:pt idx="8">
                  <c:v>750</c:v>
                </c:pt>
                <c:pt idx="9">
                  <c:v>500.00000000000011</c:v>
                </c:pt>
                <c:pt idx="10">
                  <c:v>1000.0000000000002</c:v>
                </c:pt>
                <c:pt idx="11">
                  <c:v>2750.0000000000005</c:v>
                </c:pt>
                <c:pt idx="12">
                  <c:v>5000</c:v>
                </c:pt>
                <c:pt idx="13">
                  <c:v>6500.0000000000018</c:v>
                </c:pt>
                <c:pt idx="14">
                  <c:v>5250</c:v>
                </c:pt>
                <c:pt idx="15">
                  <c:v>3000</c:v>
                </c:pt>
                <c:pt idx="16">
                  <c:v>750</c:v>
                </c:pt>
              </c:numCache>
            </c:numRef>
          </c:val>
        </c:ser>
        <c:ser>
          <c:idx val="2"/>
          <c:order val="1"/>
          <c:tx>
            <c:v>W consumida/h</c:v>
          </c:tx>
          <c:spPr>
            <a:solidFill>
              <a:srgbClr val="1F497D">
                <a:lumMod val="20000"/>
                <a:lumOff val="80000"/>
                <a:alpha val="65000"/>
              </a:srgbClr>
            </a:solidFill>
            <a:ln w="19050"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val>
            <c:numRef>
              <c:f>ATLAS!$J$72:$J$88</c:f>
              <c:numCache>
                <c:formatCode>0</c:formatCode>
                <c:ptCount val="17"/>
                <c:pt idx="0">
                  <c:v>2267.4380952380952</c:v>
                </c:pt>
                <c:pt idx="1">
                  <c:v>2267.4380952380952</c:v>
                </c:pt>
                <c:pt idx="2">
                  <c:v>2267.4380952380952</c:v>
                </c:pt>
                <c:pt idx="3">
                  <c:v>2267.4380952380952</c:v>
                </c:pt>
                <c:pt idx="4">
                  <c:v>2267.4380952380952</c:v>
                </c:pt>
                <c:pt idx="5">
                  <c:v>2267.4380952380952</c:v>
                </c:pt>
                <c:pt idx="6">
                  <c:v>2267.4380952380952</c:v>
                </c:pt>
                <c:pt idx="7">
                  <c:v>2267.4380952380952</c:v>
                </c:pt>
                <c:pt idx="8">
                  <c:v>2267.4380952380952</c:v>
                </c:pt>
                <c:pt idx="9">
                  <c:v>2267.4380952380952</c:v>
                </c:pt>
                <c:pt idx="10">
                  <c:v>2267.4380952380952</c:v>
                </c:pt>
                <c:pt idx="11">
                  <c:v>2267.4380952380952</c:v>
                </c:pt>
                <c:pt idx="12">
                  <c:v>2267.4380952380952</c:v>
                </c:pt>
                <c:pt idx="13">
                  <c:v>2267.4380952380952</c:v>
                </c:pt>
                <c:pt idx="14">
                  <c:v>2267.4380952380952</c:v>
                </c:pt>
                <c:pt idx="15">
                  <c:v>2267.4380952380952</c:v>
                </c:pt>
                <c:pt idx="16">
                  <c:v>2267.4380952380952</c:v>
                </c:pt>
              </c:numCache>
            </c:numRef>
          </c:val>
        </c:ser>
        <c:ser>
          <c:idx val="3"/>
          <c:order val="2"/>
          <c:tx>
            <c:v>Beneficio/Pérdida</c:v>
          </c:tx>
          <c:spPr>
            <a:solidFill>
              <a:srgbClr val="99FF33"/>
            </a:solidFill>
            <a:ln w="19050" cmpd="sng"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val>
            <c:numRef>
              <c:f>ATLAS!$K$72:$K$88</c:f>
              <c:numCache>
                <c:formatCode>0</c:formatCode>
                <c:ptCount val="17"/>
                <c:pt idx="0">
                  <c:v>-2017.4380952380952</c:v>
                </c:pt>
                <c:pt idx="1">
                  <c:v>-1517.4380952380952</c:v>
                </c:pt>
                <c:pt idx="2">
                  <c:v>-17.438095238094775</c:v>
                </c:pt>
                <c:pt idx="3">
                  <c:v>232.56190476190477</c:v>
                </c:pt>
                <c:pt idx="4">
                  <c:v>232.56190476190477</c:v>
                </c:pt>
                <c:pt idx="5">
                  <c:v>-17.438095238094775</c:v>
                </c:pt>
                <c:pt idx="6">
                  <c:v>-767.43809523809523</c:v>
                </c:pt>
                <c:pt idx="7">
                  <c:v>-1267.438095238095</c:v>
                </c:pt>
                <c:pt idx="8">
                  <c:v>-1517.4380952380952</c:v>
                </c:pt>
                <c:pt idx="9">
                  <c:v>-1767.4380952380952</c:v>
                </c:pt>
                <c:pt idx="10">
                  <c:v>-1267.438095238095</c:v>
                </c:pt>
                <c:pt idx="11">
                  <c:v>482.56190476190523</c:v>
                </c:pt>
                <c:pt idx="12">
                  <c:v>2732.5619047619048</c:v>
                </c:pt>
                <c:pt idx="13">
                  <c:v>4232.5619047619066</c:v>
                </c:pt>
                <c:pt idx="14">
                  <c:v>2982.5619047619048</c:v>
                </c:pt>
                <c:pt idx="15">
                  <c:v>732.56190476190477</c:v>
                </c:pt>
                <c:pt idx="16">
                  <c:v>-1517.4380952380952</c:v>
                </c:pt>
              </c:numCache>
            </c:numRef>
          </c:val>
        </c:ser>
        <c:axId val="95092096"/>
        <c:axId val="96352128"/>
      </c:areaChart>
      <c:catAx>
        <c:axId val="9509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Horario del día</a:t>
                </a:r>
              </a:p>
            </c:rich>
          </c:tx>
        </c:title>
        <c:tickLblPos val="nextTo"/>
        <c:crossAx val="96352128"/>
        <c:crossesAt val="0"/>
        <c:auto val="1"/>
        <c:lblAlgn val="ctr"/>
        <c:lblOffset val="100"/>
        <c:tickLblSkip val="1"/>
      </c:catAx>
      <c:valAx>
        <c:axId val="96352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Wh (Beneficio/Pérdidas)</a:t>
                </a:r>
              </a:p>
            </c:rich>
          </c:tx>
        </c:title>
        <c:numFmt formatCode="General" sourceLinked="1"/>
        <c:tickLblPos val="nextTo"/>
        <c:crossAx val="95092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131607977210357"/>
          <c:y val="0.14645184770275721"/>
          <c:w val="0.24868392022789559"/>
          <c:h val="0.61376297552148962"/>
        </c:manualLayout>
      </c:layout>
      <c:txPr>
        <a:bodyPr/>
        <a:lstStyle/>
        <a:p>
          <a:pPr>
            <a:defRPr sz="1200" b="1" i="0"/>
          </a:pPr>
          <a:endParaRPr lang="es-ES"/>
        </a:p>
      </c:txPr>
    </c:legend>
    <c:plotVisOnly val="1"/>
  </c:chart>
  <c:spPr>
    <a:ln>
      <a:solidFill>
        <a:schemeClr val="tx1"/>
      </a:solidFill>
    </a:ln>
  </c:spPr>
  <c:printSettings>
    <c:headerFooter/>
    <c:pageMargins b="0.7480314960629959" l="0.70866141732283894" r="0.70866141732283894" t="0.7480314960629959" header="0.31496062992126339" footer="0.31496062992126339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0"/>
  <c:chart>
    <c:plotArea>
      <c:layout>
        <c:manualLayout>
          <c:layoutTarget val="inner"/>
          <c:xMode val="edge"/>
          <c:yMode val="edge"/>
          <c:x val="9.6890366390248825E-2"/>
          <c:y val="0.17640803007732428"/>
          <c:w val="0.64605866231519704"/>
          <c:h val="0.74244761296730177"/>
        </c:manualLayout>
      </c:layout>
      <c:areaChart>
        <c:grouping val="standard"/>
        <c:ser>
          <c:idx val="0"/>
          <c:order val="0"/>
          <c:tx>
            <c:v>W generada/h</c:v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val>
            <c:numRef>
              <c:f>ATLAS!$H$72:$H$88</c:f>
              <c:numCache>
                <c:formatCode>General</c:formatCode>
                <c:ptCount val="17"/>
                <c:pt idx="0">
                  <c:v>250.00000000000006</c:v>
                </c:pt>
                <c:pt idx="1">
                  <c:v>750</c:v>
                </c:pt>
                <c:pt idx="2">
                  <c:v>2250.0000000000005</c:v>
                </c:pt>
                <c:pt idx="3">
                  <c:v>2500</c:v>
                </c:pt>
                <c:pt idx="4">
                  <c:v>2500</c:v>
                </c:pt>
                <c:pt idx="5">
                  <c:v>2250.0000000000005</c:v>
                </c:pt>
                <c:pt idx="6">
                  <c:v>1500</c:v>
                </c:pt>
                <c:pt idx="7">
                  <c:v>1000.0000000000002</c:v>
                </c:pt>
                <c:pt idx="8">
                  <c:v>750</c:v>
                </c:pt>
                <c:pt idx="9">
                  <c:v>500.00000000000011</c:v>
                </c:pt>
                <c:pt idx="10">
                  <c:v>1000.0000000000002</c:v>
                </c:pt>
                <c:pt idx="11">
                  <c:v>2750.0000000000005</c:v>
                </c:pt>
                <c:pt idx="12">
                  <c:v>5000</c:v>
                </c:pt>
                <c:pt idx="13">
                  <c:v>6500.0000000000018</c:v>
                </c:pt>
                <c:pt idx="14">
                  <c:v>5250</c:v>
                </c:pt>
                <c:pt idx="15">
                  <c:v>3000</c:v>
                </c:pt>
                <c:pt idx="16">
                  <c:v>750</c:v>
                </c:pt>
              </c:numCache>
            </c:numRef>
          </c:val>
        </c:ser>
        <c:ser>
          <c:idx val="2"/>
          <c:order val="1"/>
          <c:tx>
            <c:v>W consumida/h</c:v>
          </c:tx>
          <c:spPr>
            <a:solidFill>
              <a:srgbClr val="1F497D">
                <a:lumMod val="20000"/>
                <a:lumOff val="80000"/>
                <a:alpha val="65000"/>
              </a:srgbClr>
            </a:solidFill>
            <a:ln w="19050"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val>
            <c:numRef>
              <c:f>ATLAS!$J$72:$J$88</c:f>
              <c:numCache>
                <c:formatCode>0</c:formatCode>
                <c:ptCount val="17"/>
                <c:pt idx="0">
                  <c:v>2267.4380952380952</c:v>
                </c:pt>
                <c:pt idx="1">
                  <c:v>2267.4380952380952</c:v>
                </c:pt>
                <c:pt idx="2">
                  <c:v>2267.4380952380952</c:v>
                </c:pt>
                <c:pt idx="3">
                  <c:v>2267.4380952380952</c:v>
                </c:pt>
                <c:pt idx="4">
                  <c:v>2267.4380952380952</c:v>
                </c:pt>
                <c:pt idx="5">
                  <c:v>2267.4380952380952</c:v>
                </c:pt>
                <c:pt idx="6">
                  <c:v>2267.4380952380952</c:v>
                </c:pt>
                <c:pt idx="7">
                  <c:v>2267.4380952380952</c:v>
                </c:pt>
                <c:pt idx="8">
                  <c:v>2267.4380952380952</c:v>
                </c:pt>
                <c:pt idx="9">
                  <c:v>2267.4380952380952</c:v>
                </c:pt>
                <c:pt idx="10">
                  <c:v>2267.4380952380952</c:v>
                </c:pt>
                <c:pt idx="11">
                  <c:v>2267.4380952380952</c:v>
                </c:pt>
                <c:pt idx="12">
                  <c:v>2267.4380952380952</c:v>
                </c:pt>
                <c:pt idx="13">
                  <c:v>2267.4380952380952</c:v>
                </c:pt>
                <c:pt idx="14">
                  <c:v>2267.4380952380952</c:v>
                </c:pt>
                <c:pt idx="15">
                  <c:v>2267.4380952380952</c:v>
                </c:pt>
                <c:pt idx="16">
                  <c:v>2267.4380952380952</c:v>
                </c:pt>
              </c:numCache>
            </c:numRef>
          </c:val>
        </c:ser>
        <c:ser>
          <c:idx val="3"/>
          <c:order val="2"/>
          <c:tx>
            <c:v>Beneficio/Pérdida</c:v>
          </c:tx>
          <c:spPr>
            <a:solidFill>
              <a:srgbClr val="99FF33"/>
            </a:solidFill>
            <a:ln w="19050" cmpd="sng"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val>
            <c:numRef>
              <c:f>ATLAS!$K$72:$K$88</c:f>
              <c:numCache>
                <c:formatCode>0</c:formatCode>
                <c:ptCount val="17"/>
                <c:pt idx="0">
                  <c:v>-2017.4380952380952</c:v>
                </c:pt>
                <c:pt idx="1">
                  <c:v>-1517.4380952380952</c:v>
                </c:pt>
                <c:pt idx="2">
                  <c:v>-17.438095238094775</c:v>
                </c:pt>
                <c:pt idx="3">
                  <c:v>232.56190476190477</c:v>
                </c:pt>
                <c:pt idx="4">
                  <c:v>232.56190476190477</c:v>
                </c:pt>
                <c:pt idx="5">
                  <c:v>-17.438095238094775</c:v>
                </c:pt>
                <c:pt idx="6">
                  <c:v>-767.43809523809523</c:v>
                </c:pt>
                <c:pt idx="7">
                  <c:v>-1267.438095238095</c:v>
                </c:pt>
                <c:pt idx="8">
                  <c:v>-1517.4380952380952</c:v>
                </c:pt>
                <c:pt idx="9">
                  <c:v>-1767.4380952380952</c:v>
                </c:pt>
                <c:pt idx="10">
                  <c:v>-1267.438095238095</c:v>
                </c:pt>
                <c:pt idx="11">
                  <c:v>482.56190476190523</c:v>
                </c:pt>
                <c:pt idx="12">
                  <c:v>2732.5619047619048</c:v>
                </c:pt>
                <c:pt idx="13">
                  <c:v>4232.5619047619066</c:v>
                </c:pt>
                <c:pt idx="14">
                  <c:v>2982.5619047619048</c:v>
                </c:pt>
                <c:pt idx="15">
                  <c:v>732.56190476190477</c:v>
                </c:pt>
                <c:pt idx="16">
                  <c:v>-1517.4380952380952</c:v>
                </c:pt>
              </c:numCache>
            </c:numRef>
          </c:val>
        </c:ser>
        <c:axId val="97951744"/>
        <c:axId val="97953664"/>
      </c:areaChart>
      <c:catAx>
        <c:axId val="97951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Horario del día</a:t>
                </a:r>
              </a:p>
            </c:rich>
          </c:tx>
        </c:title>
        <c:tickLblPos val="nextTo"/>
        <c:crossAx val="97953664"/>
        <c:crossesAt val="0"/>
        <c:auto val="1"/>
        <c:lblAlgn val="ctr"/>
        <c:lblOffset val="100"/>
        <c:tickLblSkip val="1"/>
      </c:catAx>
      <c:valAx>
        <c:axId val="97953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Wh (Beneficio/Pérdidas)</a:t>
                </a:r>
              </a:p>
            </c:rich>
          </c:tx>
        </c:title>
        <c:numFmt formatCode="General" sourceLinked="1"/>
        <c:tickLblPos val="nextTo"/>
        <c:crossAx val="9795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131607977210357"/>
          <c:y val="0.14645184770275721"/>
          <c:w val="0.24868392022789559"/>
          <c:h val="0.61376297552148962"/>
        </c:manualLayout>
      </c:layout>
      <c:txPr>
        <a:bodyPr/>
        <a:lstStyle/>
        <a:p>
          <a:pPr>
            <a:defRPr sz="1200" b="1" i="0"/>
          </a:pPr>
          <a:endParaRPr lang="es-ES"/>
        </a:p>
      </c:txPr>
    </c:legend>
    <c:plotVisOnly val="1"/>
  </c:chart>
  <c:spPr>
    <a:ln>
      <a:solidFill>
        <a:schemeClr val="tx1"/>
      </a:solidFill>
    </a:ln>
  </c:spPr>
  <c:printSettings>
    <c:headerFooter/>
    <c:pageMargins b="0.74803149606299635" l="0.7086614173228396" r="0.7086614173228396" t="0.74803149606299635" header="0.31496062992126383" footer="0.31496062992126383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Energía Producida Anual / Panel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FOTOVOLTAICA!$J$89:$J$100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FOTOVOLTAICA!$K$89:$K$100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tx1"/>
              </a:solidFill>
            </a:ln>
          </c:spPr>
          <c:cat>
            <c:strRef>
              <c:f>FOTOVOLTAICA!$J$89:$J$100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FOTOVOLTAICA!$P$89:$P$100</c:f>
              <c:numCache>
                <c:formatCode>0</c:formatCode>
                <c:ptCount val="12"/>
                <c:pt idx="0">
                  <c:v>533.11999999999989</c:v>
                </c:pt>
                <c:pt idx="1">
                  <c:v>703.36</c:v>
                </c:pt>
                <c:pt idx="2">
                  <c:v>1041.5999999999999</c:v>
                </c:pt>
                <c:pt idx="3">
                  <c:v>1093.1199999999999</c:v>
                </c:pt>
                <c:pt idx="4">
                  <c:v>1211.8399999999999</c:v>
                </c:pt>
                <c:pt idx="5">
                  <c:v>1326.08</c:v>
                </c:pt>
                <c:pt idx="6">
                  <c:v>1440.32</c:v>
                </c:pt>
                <c:pt idx="7">
                  <c:v>1344</c:v>
                </c:pt>
                <c:pt idx="8">
                  <c:v>1202.8799999999999</c:v>
                </c:pt>
                <c:pt idx="9">
                  <c:v>911.68</c:v>
                </c:pt>
                <c:pt idx="10">
                  <c:v>562.24</c:v>
                </c:pt>
                <c:pt idx="11">
                  <c:v>512.95999999999992</c:v>
                </c:pt>
              </c:numCache>
            </c:numRef>
          </c:val>
        </c:ser>
        <c:ser>
          <c:idx val="2"/>
          <c:order val="2"/>
          <c:cat>
            <c:strRef>
              <c:f>FOTOVOLTAICA!$J$89:$J$100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FOTOVOLTAICA!$Q$89:$Q$100</c:f>
              <c:numCache>
                <c:formatCode>0</c:formatCode>
                <c:ptCount val="12"/>
              </c:numCache>
            </c:numRef>
          </c:val>
        </c:ser>
        <c:axId val="98455936"/>
        <c:axId val="98457856"/>
      </c:barChart>
      <c:catAx>
        <c:axId val="9845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Mes del Año</a:t>
                </a:r>
              </a:p>
            </c:rich>
          </c:tx>
          <c:layout>
            <c:manualLayout>
              <c:xMode val="edge"/>
              <c:yMode val="edge"/>
              <c:x val="0.43567554776612999"/>
              <c:y val="0.83324753341921864"/>
            </c:manualLayout>
          </c:layout>
        </c:title>
        <c:majorTickMark val="none"/>
        <c:tickLblPos val="nextTo"/>
        <c:crossAx val="98457856"/>
        <c:crosses val="autoZero"/>
        <c:auto val="1"/>
        <c:lblAlgn val="ctr"/>
        <c:lblOffset val="100"/>
      </c:catAx>
      <c:valAx>
        <c:axId val="9845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Energía Generada (Wh/día)</a:t>
                </a:r>
              </a:p>
            </c:rich>
          </c:tx>
          <c:layout>
            <c:manualLayout>
              <c:xMode val="edge"/>
              <c:yMode val="edge"/>
              <c:x val="1.7102962140698317E-2"/>
              <c:y val="9.2767594773130027E-2"/>
            </c:manualLayout>
          </c:layout>
        </c:title>
        <c:numFmt formatCode="General" sourceLinked="1"/>
        <c:tickLblPos val="nextTo"/>
        <c:crossAx val="98455936"/>
        <c:crosses val="autoZero"/>
        <c:crossBetween val="between"/>
      </c:valAx>
    </c:plotArea>
    <c:plotVisOnly val="1"/>
  </c:chart>
  <c:spPr>
    <a:ln w="19050">
      <a:solidFill>
        <a:prstClr val="black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8667478598952212"/>
          <c:y val="8.8158327874631098E-2"/>
          <c:w val="0.66981652772694877"/>
          <c:h val="0.87313198755526589"/>
        </c:manualLayout>
      </c:layout>
      <c:barChart>
        <c:barDir val="bar"/>
        <c:grouping val="stacked"/>
        <c:ser>
          <c:idx val="0"/>
          <c:order val="0"/>
          <c:tx>
            <c:strRef>
              <c:f>'DIAGRAMA GANTT'!$E$3</c:f>
              <c:strCache>
                <c:ptCount val="1"/>
                <c:pt idx="0">
                  <c:v>Fecha de Inicio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'DIAGRAMA GANTT'!$D$4:$D$19</c:f>
              <c:strCache>
                <c:ptCount val="16"/>
                <c:pt idx="0">
                  <c:v>Diseño</c:v>
                </c:pt>
                <c:pt idx="1">
                  <c:v>   Contextualización y Bocetos</c:v>
                </c:pt>
                <c:pt idx="2">
                  <c:v>   Elección element. de instalac.</c:v>
                </c:pt>
                <c:pt idx="3">
                  <c:v>Gestión de compras</c:v>
                </c:pt>
                <c:pt idx="4">
                  <c:v>   Llegada de pedido elem. Eléct.</c:v>
                </c:pt>
                <c:pt idx="5">
                  <c:v>Montaje</c:v>
                </c:pt>
                <c:pt idx="6">
                  <c:v>   Primer montaje</c:v>
                </c:pt>
                <c:pt idx="7">
                  <c:v>   Resultado y reevaluación</c:v>
                </c:pt>
                <c:pt idx="8">
                  <c:v>   Segundo montaje</c:v>
                </c:pt>
                <c:pt idx="9">
                  <c:v>   Comprobación funcionamiento</c:v>
                </c:pt>
                <c:pt idx="10">
                  <c:v>Realización pruebas laboratorio</c:v>
                </c:pt>
                <c:pt idx="11">
                  <c:v>   Cálculos</c:v>
                </c:pt>
                <c:pt idx="12">
                  <c:v>   Evaluación de Resultados</c:v>
                </c:pt>
                <c:pt idx="13">
                  <c:v>   Mejora de Medidas</c:v>
                </c:pt>
                <c:pt idx="14">
                  <c:v>Conclusiones</c:v>
                </c:pt>
                <c:pt idx="15">
                  <c:v>Redacción del Documento</c:v>
                </c:pt>
              </c:strCache>
            </c:strRef>
          </c:cat>
          <c:val>
            <c:numRef>
              <c:f>'DIAGRAMA GANTT'!$E$4:$E$19</c:f>
              <c:numCache>
                <c:formatCode>dd/mm/yyyy</c:formatCode>
                <c:ptCount val="16"/>
                <c:pt idx="0">
                  <c:v>43054</c:v>
                </c:pt>
                <c:pt idx="1">
                  <c:v>43059</c:v>
                </c:pt>
                <c:pt idx="2">
                  <c:v>43094</c:v>
                </c:pt>
                <c:pt idx="3">
                  <c:v>43136</c:v>
                </c:pt>
                <c:pt idx="4">
                  <c:v>43141</c:v>
                </c:pt>
                <c:pt idx="5">
                  <c:v>43152</c:v>
                </c:pt>
                <c:pt idx="6">
                  <c:v>43155</c:v>
                </c:pt>
                <c:pt idx="7">
                  <c:v>43165</c:v>
                </c:pt>
                <c:pt idx="8">
                  <c:v>43172</c:v>
                </c:pt>
                <c:pt idx="9">
                  <c:v>43179</c:v>
                </c:pt>
                <c:pt idx="10">
                  <c:v>43182</c:v>
                </c:pt>
                <c:pt idx="11">
                  <c:v>43182</c:v>
                </c:pt>
                <c:pt idx="12">
                  <c:v>43189</c:v>
                </c:pt>
                <c:pt idx="13">
                  <c:v>43194</c:v>
                </c:pt>
                <c:pt idx="14">
                  <c:v>43204</c:v>
                </c:pt>
                <c:pt idx="15">
                  <c:v>43218</c:v>
                </c:pt>
              </c:numCache>
            </c:numRef>
          </c:val>
        </c:ser>
        <c:ser>
          <c:idx val="1"/>
          <c:order val="1"/>
          <c:tx>
            <c:strRef>
              <c:f>'DIAGRAMA GANTT'!$F$3</c:f>
              <c:strCache>
                <c:ptCount val="1"/>
                <c:pt idx="0">
                  <c:v>Duración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dPt>
            <c:idx val="0"/>
            <c:spPr>
              <a:solidFill>
                <a:srgbClr val="FFC000"/>
              </a:solidFill>
              <a:ln w="19050"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9050">
                <a:solidFill>
                  <a:prstClr val="black"/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19050">
                <a:solidFill>
                  <a:prstClr val="black"/>
                </a:solidFill>
              </a:ln>
            </c:spPr>
          </c:dPt>
          <c:dPt>
            <c:idx val="5"/>
            <c:spPr>
              <a:solidFill>
                <a:srgbClr val="FFC000"/>
              </a:solidFill>
              <a:ln w="19050">
                <a:solidFill>
                  <a:prstClr val="black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prstClr val="black"/>
                </a:solidFill>
              </a:ln>
            </c:spPr>
          </c:dPt>
          <c:dPt>
            <c:idx val="7"/>
            <c:spPr>
              <a:solidFill>
                <a:srgbClr val="1F497D">
                  <a:lumMod val="60000"/>
                  <a:lumOff val="40000"/>
                </a:srgbClr>
              </a:solidFill>
              <a:ln w="19050">
                <a:solidFill>
                  <a:prstClr val="black"/>
                </a:solidFill>
              </a:ln>
            </c:spPr>
          </c:dPt>
          <c:dPt>
            <c:idx val="8"/>
            <c:spPr>
              <a:solidFill>
                <a:srgbClr val="1F497D">
                  <a:lumMod val="60000"/>
                  <a:lumOff val="40000"/>
                </a:srgbClr>
              </a:solidFill>
              <a:ln w="19050">
                <a:solidFill>
                  <a:prstClr val="black"/>
                </a:solidFill>
              </a:ln>
            </c:spPr>
          </c:dPt>
          <c:dPt>
            <c:idx val="9"/>
            <c:spPr>
              <a:solidFill>
                <a:srgbClr val="1F497D">
                  <a:lumMod val="60000"/>
                  <a:lumOff val="40000"/>
                </a:srgbClr>
              </a:solidFill>
              <a:ln w="19050">
                <a:solidFill>
                  <a:prstClr val="black"/>
                </a:solidFill>
              </a:ln>
            </c:spPr>
          </c:dPt>
          <c:dPt>
            <c:idx val="10"/>
            <c:spPr>
              <a:solidFill>
                <a:srgbClr val="FFC000"/>
              </a:solidFill>
              <a:ln w="19050">
                <a:solidFill>
                  <a:prstClr val="black"/>
                </a:solidFill>
              </a:ln>
            </c:spPr>
          </c:dPt>
          <c:dPt>
            <c:idx val="11"/>
            <c:spPr>
              <a:solidFill>
                <a:srgbClr val="1F497D">
                  <a:lumMod val="60000"/>
                  <a:lumOff val="40000"/>
                </a:srgbClr>
              </a:solidFill>
              <a:ln w="19050">
                <a:solidFill>
                  <a:prstClr val="black"/>
                </a:solidFill>
              </a:ln>
            </c:spPr>
          </c:dPt>
          <c:dPt>
            <c:idx val="12"/>
            <c:spPr>
              <a:solidFill>
                <a:srgbClr val="1F497D">
                  <a:lumMod val="60000"/>
                  <a:lumOff val="40000"/>
                </a:srgbClr>
              </a:solidFill>
              <a:ln w="19050">
                <a:solidFill>
                  <a:prstClr val="black"/>
                </a:solidFill>
              </a:ln>
            </c:spPr>
          </c:dPt>
          <c:dPt>
            <c:idx val="13"/>
            <c:spPr>
              <a:solidFill>
                <a:srgbClr val="1F497D">
                  <a:lumMod val="60000"/>
                  <a:lumOff val="40000"/>
                </a:srgbClr>
              </a:solidFill>
              <a:ln w="19050">
                <a:solidFill>
                  <a:prstClr val="black"/>
                </a:solidFill>
              </a:ln>
            </c:spPr>
          </c:dPt>
          <c:dPt>
            <c:idx val="14"/>
            <c:spPr>
              <a:solidFill>
                <a:srgbClr val="FFC000"/>
              </a:solidFill>
              <a:ln w="19050">
                <a:solidFill>
                  <a:prstClr val="black"/>
                </a:solidFill>
              </a:ln>
            </c:spPr>
          </c:dPt>
          <c:dPt>
            <c:idx val="15"/>
            <c:spPr>
              <a:solidFill>
                <a:srgbClr val="FFC000"/>
              </a:solidFill>
              <a:ln w="19050">
                <a:solidFill>
                  <a:prstClr val="black"/>
                </a:solidFill>
              </a:ln>
            </c:spPr>
          </c:dPt>
          <c:cat>
            <c:strRef>
              <c:f>'DIAGRAMA GANTT'!$D$4:$D$19</c:f>
              <c:strCache>
                <c:ptCount val="16"/>
                <c:pt idx="0">
                  <c:v>Diseño</c:v>
                </c:pt>
                <c:pt idx="1">
                  <c:v>   Contextualización y Bocetos</c:v>
                </c:pt>
                <c:pt idx="2">
                  <c:v>   Elección element. de instalac.</c:v>
                </c:pt>
                <c:pt idx="3">
                  <c:v>Gestión de compras</c:v>
                </c:pt>
                <c:pt idx="4">
                  <c:v>   Llegada de pedido elem. Eléct.</c:v>
                </c:pt>
                <c:pt idx="5">
                  <c:v>Montaje</c:v>
                </c:pt>
                <c:pt idx="6">
                  <c:v>   Primer montaje</c:v>
                </c:pt>
                <c:pt idx="7">
                  <c:v>   Resultado y reevaluación</c:v>
                </c:pt>
                <c:pt idx="8">
                  <c:v>   Segundo montaje</c:v>
                </c:pt>
                <c:pt idx="9">
                  <c:v>   Comprobación funcionamiento</c:v>
                </c:pt>
                <c:pt idx="10">
                  <c:v>Realización pruebas laboratorio</c:v>
                </c:pt>
                <c:pt idx="11">
                  <c:v>   Cálculos</c:v>
                </c:pt>
                <c:pt idx="12">
                  <c:v>   Evaluación de Resultados</c:v>
                </c:pt>
                <c:pt idx="13">
                  <c:v>   Mejora de Medidas</c:v>
                </c:pt>
                <c:pt idx="14">
                  <c:v>Conclusiones</c:v>
                </c:pt>
                <c:pt idx="15">
                  <c:v>Redacción del Documento</c:v>
                </c:pt>
              </c:strCache>
            </c:strRef>
          </c:cat>
          <c:val>
            <c:numRef>
              <c:f>'DIAGRAMA GANTT'!$F$4:$F$19</c:f>
              <c:numCache>
                <c:formatCode>General</c:formatCode>
                <c:ptCount val="16"/>
                <c:pt idx="0">
                  <c:v>82</c:v>
                </c:pt>
                <c:pt idx="1">
                  <c:v>35</c:v>
                </c:pt>
                <c:pt idx="2">
                  <c:v>42</c:v>
                </c:pt>
                <c:pt idx="3">
                  <c:v>16</c:v>
                </c:pt>
                <c:pt idx="4">
                  <c:v>11</c:v>
                </c:pt>
                <c:pt idx="5">
                  <c:v>30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22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14</c:v>
                </c:pt>
                <c:pt idx="15">
                  <c:v>54</c:v>
                </c:pt>
              </c:numCache>
            </c:numRef>
          </c:val>
        </c:ser>
        <c:overlap val="100"/>
        <c:axId val="100296192"/>
        <c:axId val="100297728"/>
      </c:barChart>
      <c:catAx>
        <c:axId val="100296192"/>
        <c:scaling>
          <c:orientation val="maxMin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 i="0">
                <a:latin typeface="+mj-lt"/>
              </a:defRPr>
            </a:pPr>
            <a:endParaRPr lang="es-ES"/>
          </a:p>
        </c:txPr>
        <c:crossAx val="100297728"/>
        <c:crosses val="autoZero"/>
        <c:auto val="1"/>
        <c:lblAlgn val="ctr"/>
        <c:lblOffset val="100"/>
      </c:catAx>
      <c:valAx>
        <c:axId val="100297728"/>
        <c:scaling>
          <c:orientation val="minMax"/>
          <c:max val="43272"/>
          <c:min val="43054"/>
        </c:scaling>
        <c:axPos val="t"/>
        <c:majorGridlines/>
        <c:minorGridlines/>
        <c:numFmt formatCode="dd/mm/yyyy" sourceLinked="1"/>
        <c:tickLblPos val="nextTo"/>
        <c:crossAx val="100296192"/>
        <c:crosses val="autoZero"/>
        <c:crossBetween val="between"/>
      </c:valAx>
    </c:plotArea>
    <c:plotVisOnly val="1"/>
  </c:chart>
  <c:spPr>
    <a:ln w="19050">
      <a:solidFill>
        <a:schemeClr val="tx1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651444</xdr:colOff>
      <xdr:row>8</xdr:row>
      <xdr:rowOff>128702</xdr:rowOff>
    </xdr:from>
    <xdr:to>
      <xdr:col>22</xdr:col>
      <xdr:colOff>571500</xdr:colOff>
      <xdr:row>20</xdr:row>
      <xdr:rowOff>144441</xdr:rowOff>
    </xdr:to>
    <xdr:pic>
      <xdr:nvPicPr>
        <xdr:cNvPr id="2" name="1 Imagen" descr="Atlas Vitor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86444" y="1652702"/>
          <a:ext cx="3285556" cy="23017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11</xdr:col>
      <xdr:colOff>376463</xdr:colOff>
      <xdr:row>71</xdr:row>
      <xdr:rowOff>0</xdr:rowOff>
    </xdr:from>
    <xdr:to>
      <xdr:col>19</xdr:col>
      <xdr:colOff>703035</xdr:colOff>
      <xdr:row>89</xdr:row>
      <xdr:rowOff>95250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0.77101</cdr:x>
      <cdr:y>0.03861</cdr:y>
    </cdr:from>
    <cdr:to>
      <cdr:x>0.90546</cdr:x>
      <cdr:y>0.13514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93823" y="136071"/>
          <a:ext cx="870857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0.07413</cdr:x>
      <cdr:y>0.05856</cdr:y>
    </cdr:from>
    <cdr:to>
      <cdr:x>0.61993</cdr:x>
      <cdr:y>0.21171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80787" y="206375"/>
          <a:ext cx="3540125" cy="539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0.08881</cdr:x>
      <cdr:y>0.04505</cdr:y>
    </cdr:from>
    <cdr:to>
      <cdr:x>0.69825</cdr:x>
      <cdr:y>0.17568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76037" y="158750"/>
          <a:ext cx="3952875" cy="460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 i="1"/>
            <a:t>GRÁFICA</a:t>
          </a:r>
          <a:r>
            <a:rPr lang="es-ES" sz="1400" i="1"/>
            <a:t> </a:t>
          </a:r>
          <a:r>
            <a:rPr lang="es-ES" sz="1400" b="1" i="1"/>
            <a:t>GENERACIÓN / DEMANDA / BENEFICIO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48</xdr:row>
      <xdr:rowOff>0</xdr:rowOff>
    </xdr:from>
    <xdr:to>
      <xdr:col>16</xdr:col>
      <xdr:colOff>219416</xdr:colOff>
      <xdr:row>59</xdr:row>
      <xdr:rowOff>61933</xdr:rowOff>
    </xdr:to>
    <xdr:pic>
      <xdr:nvPicPr>
        <xdr:cNvPr id="2" name="1 Imagen" descr="Estadio Vitor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0" y="5905500"/>
          <a:ext cx="3036094" cy="215743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16</xdr:col>
      <xdr:colOff>381000</xdr:colOff>
      <xdr:row>42</xdr:row>
      <xdr:rowOff>76200</xdr:rowOff>
    </xdr:from>
    <xdr:to>
      <xdr:col>25</xdr:col>
      <xdr:colOff>9072</xdr:colOff>
      <xdr:row>60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0.77101</cdr:x>
      <cdr:y>0.03861</cdr:y>
    </cdr:from>
    <cdr:to>
      <cdr:x>0.90546</cdr:x>
      <cdr:y>0.13514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93823" y="136071"/>
          <a:ext cx="870857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0.07413</cdr:x>
      <cdr:y>0.05856</cdr:y>
    </cdr:from>
    <cdr:to>
      <cdr:x>0.61993</cdr:x>
      <cdr:y>0.21171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80787" y="206375"/>
          <a:ext cx="3540125" cy="539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0.08881</cdr:x>
      <cdr:y>0.04505</cdr:y>
    </cdr:from>
    <cdr:to>
      <cdr:x>0.69825</cdr:x>
      <cdr:y>0.17568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76037" y="158750"/>
          <a:ext cx="3952875" cy="460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 i="1"/>
            <a:t> </a:t>
          </a:r>
          <a:r>
            <a:rPr lang="es-ES" sz="1400" b="1" i="1" u="sng"/>
            <a:t>ESTADIO:</a:t>
          </a:r>
          <a:r>
            <a:rPr lang="es-ES" sz="1400" b="1" i="1"/>
            <a:t> </a:t>
          </a:r>
          <a:r>
            <a:rPr lang="es-ES" sz="1400" i="1"/>
            <a:t> </a:t>
          </a:r>
          <a:r>
            <a:rPr lang="es-ES" sz="1400" b="1" i="1"/>
            <a:t>GENERACIÓN / DEMANDA / BENEFICIO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365125</xdr:colOff>
      <xdr:row>19</xdr:row>
      <xdr:rowOff>127000</xdr:rowOff>
    </xdr:from>
    <xdr:to>
      <xdr:col>15</xdr:col>
      <xdr:colOff>269875</xdr:colOff>
      <xdr:row>35</xdr:row>
      <xdr:rowOff>97214</xdr:rowOff>
    </xdr:to>
    <xdr:pic>
      <xdr:nvPicPr>
        <xdr:cNvPr id="2" name="1 Imagen" descr="002b74e02ce80820f3a2e4cdac2644b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4250" y="6953250"/>
          <a:ext cx="3905250" cy="3108928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714375</xdr:colOff>
      <xdr:row>2</xdr:row>
      <xdr:rowOff>142875</xdr:rowOff>
    </xdr:from>
    <xdr:to>
      <xdr:col>12</xdr:col>
      <xdr:colOff>702584</xdr:colOff>
      <xdr:row>17</xdr:row>
      <xdr:rowOff>31750</xdr:rowOff>
    </xdr:to>
    <xdr:pic>
      <xdr:nvPicPr>
        <xdr:cNvPr id="3" name="2 Imagen" descr="orientacion-inclinacion-paneles-sola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83500" y="523875"/>
          <a:ext cx="4290334" cy="274637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12</xdr:col>
      <xdr:colOff>762000</xdr:colOff>
      <xdr:row>1</xdr:row>
      <xdr:rowOff>119063</xdr:rowOff>
    </xdr:from>
    <xdr:to>
      <xdr:col>19</xdr:col>
      <xdr:colOff>833438</xdr:colOff>
      <xdr:row>17</xdr:row>
      <xdr:rowOff>71439</xdr:rowOff>
    </xdr:to>
    <xdr:sp macro="" textlink="">
      <xdr:nvSpPr>
        <xdr:cNvPr id="4" name="3 CuadroTexto"/>
        <xdr:cNvSpPr txBox="1"/>
      </xdr:nvSpPr>
      <xdr:spPr>
        <a:xfrm>
          <a:off x="11811000" y="309563"/>
          <a:ext cx="5310188" cy="300037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s-ES" sz="1600">
              <a:latin typeface="+mj-lt"/>
            </a:rPr>
            <a:t>Según los datos de Euskalmet, el País</a:t>
          </a:r>
          <a:r>
            <a:rPr lang="es-ES" sz="1600" baseline="0">
              <a:latin typeface="+mj-lt"/>
            </a:rPr>
            <a:t> Vasco se sitúa entre los 42 y 43,5º de latitud Norte.</a:t>
          </a:r>
        </a:p>
        <a:p>
          <a:pPr algn="l"/>
          <a:endParaRPr lang="es-ES" sz="1600" baseline="0">
            <a:latin typeface="+mj-lt"/>
          </a:endParaRPr>
        </a:p>
        <a:p>
          <a:pPr algn="l"/>
          <a:r>
            <a:rPr lang="es-ES" sz="1600" baseline="0">
              <a:latin typeface="+mj-lt"/>
            </a:rPr>
            <a:t>Además, en instalaciones fotovoltaicas, se recomienda variar la inclinación de las placas en torno a los 10-15º entre verano e invierno. </a:t>
          </a:r>
        </a:p>
        <a:p>
          <a:pPr algn="l"/>
          <a:endParaRPr lang="es-ES" sz="1600" baseline="0">
            <a:latin typeface="+mj-lt"/>
          </a:endParaRPr>
        </a:p>
        <a:p>
          <a:pPr algn="ctr"/>
          <a:r>
            <a:rPr lang="es-ES" sz="1600" baseline="0">
              <a:latin typeface="+mj-lt"/>
            </a:rPr>
            <a:t>Invierno= +10/15º respecto al angulo de latitud.</a:t>
          </a:r>
        </a:p>
        <a:p>
          <a:pPr algn="ctr"/>
          <a:endParaRPr lang="es-ES" sz="1600" baseline="0">
            <a:latin typeface="+mj-lt"/>
          </a:endParaRPr>
        </a:p>
        <a:p>
          <a:pPr algn="ctr"/>
          <a:r>
            <a:rPr lang="es-ES" sz="1600" baseline="0">
              <a:latin typeface="+mj-lt"/>
            </a:rPr>
            <a:t>Verano= -10/15º respecto al angulo de latitud.</a:t>
          </a:r>
          <a:endParaRPr lang="es-ES" sz="1400" baseline="0">
            <a:latin typeface="+mj-lt"/>
          </a:endParaRPr>
        </a:p>
        <a:p>
          <a:pPr algn="l"/>
          <a:endParaRPr lang="es-ES" sz="1400" baseline="0">
            <a:latin typeface="+mj-lt"/>
          </a:endParaRPr>
        </a:p>
      </xdr:txBody>
    </xdr:sp>
    <xdr:clientData/>
  </xdr:twoCellAnchor>
  <xdr:twoCellAnchor>
    <xdr:from>
      <xdr:col>6</xdr:col>
      <xdr:colOff>95251</xdr:colOff>
      <xdr:row>3</xdr:row>
      <xdr:rowOff>111124</xdr:rowOff>
    </xdr:from>
    <xdr:to>
      <xdr:col>7</xdr:col>
      <xdr:colOff>476250</xdr:colOff>
      <xdr:row>15</xdr:row>
      <xdr:rowOff>15875</xdr:rowOff>
    </xdr:to>
    <xdr:sp macro="" textlink="">
      <xdr:nvSpPr>
        <xdr:cNvPr id="11" name="10 CuadroTexto"/>
        <xdr:cNvSpPr txBox="1"/>
      </xdr:nvSpPr>
      <xdr:spPr>
        <a:xfrm>
          <a:off x="5603876" y="682624"/>
          <a:ext cx="1555749" cy="219075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/>
            <a:t>Panel Solar Amerisolar</a:t>
          </a:r>
          <a:r>
            <a:rPr lang="es-ES" b="1" baseline="0"/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 baseline="0"/>
            <a:t>Policristalino: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b="1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/>
            <a:t>P=320W.</a:t>
          </a:r>
          <a:r>
            <a:rPr lang="es-ES" b="1" baseline="0"/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 baseline="0"/>
            <a:t>2</a:t>
          </a:r>
          <a:r>
            <a:rPr lang="es-ES" b="1"/>
            <a:t>4 V.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/>
            <a:t>Precio= 245€.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b="1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 baseline="0"/>
            <a:t>(L=1490mm,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 baseline="0"/>
            <a:t>A=990mm,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b="1" baseline="0"/>
            <a:t>E=42mm)</a:t>
          </a:r>
          <a:endParaRPr lang="es-ES" b="1"/>
        </a:p>
        <a:p>
          <a:endParaRPr lang="es-ES" sz="1100" baseline="0"/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6</xdr:col>
      <xdr:colOff>889000</xdr:colOff>
      <xdr:row>74</xdr:row>
      <xdr:rowOff>143806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1701" r="62504" b="68316"/>
        <a:stretch>
          <a:fillRect/>
        </a:stretch>
      </xdr:blipFill>
      <xdr:spPr bwMode="auto">
        <a:xfrm>
          <a:off x="762000" y="13144500"/>
          <a:ext cx="5651500" cy="1096306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8</xdr:col>
      <xdr:colOff>15875</xdr:colOff>
      <xdr:row>82</xdr:row>
      <xdr:rowOff>160767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6510" r="48647" b="80252"/>
        <a:stretch>
          <a:fillRect/>
        </a:stretch>
      </xdr:blipFill>
      <xdr:spPr bwMode="auto">
        <a:xfrm>
          <a:off x="762000" y="14478000"/>
          <a:ext cx="6873875" cy="1303767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8</xdr:col>
      <xdr:colOff>21026</xdr:colOff>
      <xdr:row>107</xdr:row>
      <xdr:rowOff>0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815" t="33203" r="49788" b="25998"/>
        <a:stretch>
          <a:fillRect/>
        </a:stretch>
      </xdr:blipFill>
      <xdr:spPr bwMode="auto">
        <a:xfrm>
          <a:off x="762000" y="16192500"/>
          <a:ext cx="6879026" cy="4191000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8</xdr:col>
      <xdr:colOff>72570</xdr:colOff>
      <xdr:row>131</xdr:row>
      <xdr:rowOff>64627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977" t="33228" r="50154" b="25967"/>
        <a:stretch>
          <a:fillRect/>
        </a:stretch>
      </xdr:blipFill>
      <xdr:spPr bwMode="auto">
        <a:xfrm>
          <a:off x="762000" y="20764500"/>
          <a:ext cx="6930570" cy="4255627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7</xdr:col>
      <xdr:colOff>561975</xdr:colOff>
      <xdr:row>146</xdr:row>
      <xdr:rowOff>11256</xdr:rowOff>
    </xdr:to>
    <xdr:pic>
      <xdr:nvPicPr>
        <xdr:cNvPr id="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54215" r="50781" b="20623"/>
        <a:stretch>
          <a:fillRect/>
        </a:stretch>
      </xdr:blipFill>
      <xdr:spPr bwMode="auto">
        <a:xfrm>
          <a:off x="762000" y="25336500"/>
          <a:ext cx="6515100" cy="2487756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0</xdr:colOff>
      <xdr:row>110</xdr:row>
      <xdr:rowOff>0</xdr:rowOff>
    </xdr:from>
    <xdr:to>
      <xdr:col>27</xdr:col>
      <xdr:colOff>1102180</xdr:colOff>
      <xdr:row>124</xdr:row>
      <xdr:rowOff>13607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17198</xdr:colOff>
      <xdr:row>2</xdr:row>
      <xdr:rowOff>9259</xdr:rowOff>
    </xdr:from>
    <xdr:to>
      <xdr:col>11</xdr:col>
      <xdr:colOff>556948</xdr:colOff>
      <xdr:row>14</xdr:row>
      <xdr:rowOff>60852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159" t="31829" r="34245" b="36053"/>
        <a:stretch>
          <a:fillRect/>
        </a:stretch>
      </xdr:blipFill>
      <xdr:spPr bwMode="auto">
        <a:xfrm>
          <a:off x="5041636" y="390259"/>
          <a:ext cx="4349750" cy="2349500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133613</xdr:colOff>
      <xdr:row>13</xdr:row>
      <xdr:rowOff>27783</xdr:rowOff>
    </xdr:from>
    <xdr:to>
      <xdr:col>3</xdr:col>
      <xdr:colOff>1250155</xdr:colOff>
      <xdr:row>26</xdr:row>
      <xdr:rowOff>149491</xdr:rowOff>
    </xdr:to>
    <xdr:pic>
      <xdr:nvPicPr>
        <xdr:cNvPr id="3" name="2 Imagen" descr="Tamaños rueda biciclet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57" t="18923" r="67285" b="6667"/>
        <a:stretch>
          <a:fillRect/>
        </a:stretch>
      </xdr:blipFill>
      <xdr:spPr>
        <a:xfrm>
          <a:off x="1657613" y="2504283"/>
          <a:ext cx="2497667" cy="2645833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426922</xdr:colOff>
      <xdr:row>11</xdr:row>
      <xdr:rowOff>27219</xdr:rowOff>
    </xdr:from>
    <xdr:to>
      <xdr:col>8</xdr:col>
      <xdr:colOff>340177</xdr:colOff>
      <xdr:row>16</xdr:row>
      <xdr:rowOff>176898</xdr:rowOff>
    </xdr:to>
    <xdr:sp macro="" textlink="">
      <xdr:nvSpPr>
        <xdr:cNvPr id="9" name="8 Rectángulo redondeado"/>
        <xdr:cNvSpPr/>
      </xdr:nvSpPr>
      <xdr:spPr>
        <a:xfrm>
          <a:off x="1950922" y="2122719"/>
          <a:ext cx="4485255" cy="1102179"/>
        </a:xfrm>
        <a:prstGeom prst="round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600" b="1" i="1">
              <a:latin typeface="+mj-lt"/>
            </a:rPr>
            <a:t>GRUPO</a:t>
          </a:r>
          <a:r>
            <a:rPr lang="es-ES" sz="1600" b="1" i="1" baseline="0">
              <a:latin typeface="+mj-lt"/>
            </a:rPr>
            <a:t> DE BATERÍAS</a:t>
          </a:r>
        </a:p>
      </xdr:txBody>
    </xdr:sp>
    <xdr:clientData/>
  </xdr:twoCellAnchor>
  <xdr:twoCellAnchor>
    <xdr:from>
      <xdr:col>4</xdr:col>
      <xdr:colOff>244924</xdr:colOff>
      <xdr:row>18</xdr:row>
      <xdr:rowOff>136074</xdr:rowOff>
    </xdr:from>
    <xdr:to>
      <xdr:col>12</xdr:col>
      <xdr:colOff>449031</xdr:colOff>
      <xdr:row>25</xdr:row>
      <xdr:rowOff>54432</xdr:rowOff>
    </xdr:to>
    <xdr:sp macro="" textlink="">
      <xdr:nvSpPr>
        <xdr:cNvPr id="10" name="9 Elipse"/>
        <xdr:cNvSpPr/>
      </xdr:nvSpPr>
      <xdr:spPr>
        <a:xfrm>
          <a:off x="3292924" y="3565074"/>
          <a:ext cx="6300107" cy="1251858"/>
        </a:xfrm>
        <a:prstGeom prst="ellipse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800" b="1" i="1">
              <a:latin typeface="+mj-lt"/>
            </a:rPr>
            <a:t>CARGAS</a:t>
          </a:r>
          <a:r>
            <a:rPr lang="es-ES" sz="1800" b="1" i="1" baseline="0">
              <a:latin typeface="+mj-lt"/>
            </a:rPr>
            <a:t> ACOPLADAS EN LA INSTALACIÓN ELÉCTRICA</a:t>
          </a:r>
        </a:p>
      </xdr:txBody>
    </xdr:sp>
    <xdr:clientData/>
  </xdr:twoCellAnchor>
  <xdr:twoCellAnchor>
    <xdr:from>
      <xdr:col>3</xdr:col>
      <xdr:colOff>495790</xdr:colOff>
      <xdr:row>8</xdr:row>
      <xdr:rowOff>179917</xdr:rowOff>
    </xdr:from>
    <xdr:to>
      <xdr:col>3</xdr:col>
      <xdr:colOff>503463</xdr:colOff>
      <xdr:row>11</xdr:row>
      <xdr:rowOff>54429</xdr:rowOff>
    </xdr:to>
    <xdr:cxnSp macro="">
      <xdr:nvCxnSpPr>
        <xdr:cNvPr id="12" name="11 Conector recto de flecha"/>
        <xdr:cNvCxnSpPr/>
      </xdr:nvCxnSpPr>
      <xdr:spPr>
        <a:xfrm>
          <a:off x="2781790" y="1703917"/>
          <a:ext cx="7673" cy="44601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163285</xdr:colOff>
      <xdr:row>8</xdr:row>
      <xdr:rowOff>175571</xdr:rowOff>
    </xdr:from>
    <xdr:to>
      <xdr:col>7</xdr:col>
      <xdr:colOff>163402</xdr:colOff>
      <xdr:row>11</xdr:row>
      <xdr:rowOff>13607</xdr:rowOff>
    </xdr:to>
    <xdr:cxnSp macro="">
      <xdr:nvCxnSpPr>
        <xdr:cNvPr id="14" name="13 Conector recto de flecha"/>
        <xdr:cNvCxnSpPr/>
      </xdr:nvCxnSpPr>
      <xdr:spPr>
        <a:xfrm flipH="1">
          <a:off x="5497285" y="1699571"/>
          <a:ext cx="117" cy="409536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748393</xdr:colOff>
      <xdr:row>16</xdr:row>
      <xdr:rowOff>176893</xdr:rowOff>
    </xdr:from>
    <xdr:to>
      <xdr:col>7</xdr:col>
      <xdr:colOff>0</xdr:colOff>
      <xdr:row>19</xdr:row>
      <xdr:rowOff>27214</xdr:rowOff>
    </xdr:to>
    <xdr:cxnSp macro="">
      <xdr:nvCxnSpPr>
        <xdr:cNvPr id="16" name="15 Conector recto de flecha"/>
        <xdr:cNvCxnSpPr/>
      </xdr:nvCxnSpPr>
      <xdr:spPr>
        <a:xfrm>
          <a:off x="5320393" y="3224893"/>
          <a:ext cx="13607" cy="42182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378090</xdr:colOff>
      <xdr:row>8</xdr:row>
      <xdr:rowOff>189178</xdr:rowOff>
    </xdr:from>
    <xdr:to>
      <xdr:col>11</xdr:col>
      <xdr:colOff>381000</xdr:colOff>
      <xdr:row>20</xdr:row>
      <xdr:rowOff>27214</xdr:rowOff>
    </xdr:to>
    <xdr:cxnSp macro="">
      <xdr:nvCxnSpPr>
        <xdr:cNvPr id="18" name="17 Conector recto de flecha"/>
        <xdr:cNvCxnSpPr/>
      </xdr:nvCxnSpPr>
      <xdr:spPr>
        <a:xfrm>
          <a:off x="8760090" y="1713178"/>
          <a:ext cx="2910" cy="2124036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244929</xdr:colOff>
      <xdr:row>3</xdr:row>
      <xdr:rowOff>108857</xdr:rowOff>
    </xdr:from>
    <xdr:to>
      <xdr:col>4</xdr:col>
      <xdr:colOff>721178</xdr:colOff>
      <xdr:row>8</xdr:row>
      <xdr:rowOff>190499</xdr:rowOff>
    </xdr:to>
    <xdr:sp macro="" textlink="">
      <xdr:nvSpPr>
        <xdr:cNvPr id="22" name="21 Elipse"/>
        <xdr:cNvSpPr/>
      </xdr:nvSpPr>
      <xdr:spPr>
        <a:xfrm>
          <a:off x="1768929" y="680357"/>
          <a:ext cx="2000249" cy="1034142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400" b="1" i="1">
              <a:solidFill>
                <a:schemeClr val="tx1"/>
              </a:solidFill>
              <a:latin typeface="+mj-lt"/>
            </a:rPr>
            <a:t>GENERADORES</a:t>
          </a:r>
        </a:p>
      </xdr:txBody>
    </xdr:sp>
    <xdr:clientData/>
  </xdr:twoCellAnchor>
  <xdr:twoCellAnchor>
    <xdr:from>
      <xdr:col>5</xdr:col>
      <xdr:colOff>612319</xdr:colOff>
      <xdr:row>3</xdr:row>
      <xdr:rowOff>122463</xdr:rowOff>
    </xdr:from>
    <xdr:to>
      <xdr:col>8</xdr:col>
      <xdr:colOff>530679</xdr:colOff>
      <xdr:row>9</xdr:row>
      <xdr:rowOff>13607</xdr:rowOff>
    </xdr:to>
    <xdr:sp macro="" textlink="">
      <xdr:nvSpPr>
        <xdr:cNvPr id="23" name="22 Elipse"/>
        <xdr:cNvSpPr/>
      </xdr:nvSpPr>
      <xdr:spPr>
        <a:xfrm>
          <a:off x="4422319" y="693963"/>
          <a:ext cx="2204360" cy="1034144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400" b="1" i="1">
              <a:solidFill>
                <a:schemeClr val="tx1"/>
              </a:solidFill>
              <a:latin typeface="+mj-lt"/>
            </a:rPr>
            <a:t>PANELES</a:t>
          </a:r>
        </a:p>
        <a:p>
          <a:pPr algn="ctr"/>
          <a:r>
            <a:rPr lang="es-ES" sz="1400" b="1" i="1">
              <a:solidFill>
                <a:schemeClr val="tx1"/>
              </a:solidFill>
              <a:latin typeface="+mj-lt"/>
            </a:rPr>
            <a:t>FOTOVOLTAICOS</a:t>
          </a:r>
        </a:p>
      </xdr:txBody>
    </xdr:sp>
    <xdr:clientData/>
  </xdr:twoCellAnchor>
  <xdr:twoCellAnchor>
    <xdr:from>
      <xdr:col>10</xdr:col>
      <xdr:colOff>190499</xdr:colOff>
      <xdr:row>3</xdr:row>
      <xdr:rowOff>149679</xdr:rowOff>
    </xdr:from>
    <xdr:to>
      <xdr:col>12</xdr:col>
      <xdr:colOff>557891</xdr:colOff>
      <xdr:row>9</xdr:row>
      <xdr:rowOff>40821</xdr:rowOff>
    </xdr:to>
    <xdr:sp macro="" textlink="">
      <xdr:nvSpPr>
        <xdr:cNvPr id="24" name="23 Elipse"/>
        <xdr:cNvSpPr/>
      </xdr:nvSpPr>
      <xdr:spPr>
        <a:xfrm>
          <a:off x="7810499" y="721179"/>
          <a:ext cx="1891392" cy="1034142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400" b="1" i="1">
              <a:solidFill>
                <a:schemeClr val="tx1"/>
              </a:solidFill>
              <a:latin typeface="+mj-lt"/>
            </a:rPr>
            <a:t>RED ELÉCTRICA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211666</xdr:colOff>
      <xdr:row>2</xdr:row>
      <xdr:rowOff>0</xdr:rowOff>
    </xdr:from>
    <xdr:to>
      <xdr:col>18</xdr:col>
      <xdr:colOff>625927</xdr:colOff>
      <xdr:row>29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16"/>
  <sheetViews>
    <sheetView topLeftCell="B1" zoomScale="40" zoomScaleNormal="40" workbookViewId="0">
      <selection activeCell="AH12" sqref="AH12:AO54"/>
    </sheetView>
  </sheetViews>
  <sheetFormatPr baseColWidth="10" defaultRowHeight="15"/>
  <cols>
    <col min="1" max="1" width="6.85546875" customWidth="1"/>
    <col min="12" max="12" width="12.28515625" customWidth="1"/>
    <col min="15" max="15" width="12.7109375" customWidth="1"/>
    <col min="16" max="16" width="14.140625" customWidth="1"/>
    <col min="17" max="17" width="9.140625" customWidth="1"/>
    <col min="18" max="18" width="7.42578125" customWidth="1"/>
    <col min="19" max="19" width="11.85546875" customWidth="1"/>
    <col min="21" max="21" width="13.5703125" customWidth="1"/>
    <col min="22" max="22" width="13.28515625" customWidth="1"/>
    <col min="23" max="23" width="10.85546875" customWidth="1"/>
    <col min="24" max="24" width="12.42578125" customWidth="1"/>
    <col min="25" max="25" width="12.28515625" customWidth="1"/>
    <col min="26" max="26" width="9.28515625" customWidth="1"/>
    <col min="27" max="27" width="11.28515625" customWidth="1"/>
  </cols>
  <sheetData>
    <row r="3" spans="2:25">
      <c r="F3" s="5" t="s">
        <v>18</v>
      </c>
      <c r="G3" s="68" t="s">
        <v>265</v>
      </c>
      <c r="I3" s="149" t="s">
        <v>45</v>
      </c>
      <c r="J3" s="149"/>
      <c r="K3" s="1">
        <v>50</v>
      </c>
    </row>
    <row r="4" spans="2:25">
      <c r="B4" s="150" t="s">
        <v>12</v>
      </c>
      <c r="C4" s="150"/>
      <c r="D4" s="128" t="s">
        <v>17</v>
      </c>
      <c r="E4" s="145"/>
      <c r="F4" s="4" t="s">
        <v>19</v>
      </c>
      <c r="G4" s="4">
        <v>15.75</v>
      </c>
      <c r="I4" s="149" t="s">
        <v>46</v>
      </c>
      <c r="J4" s="149"/>
      <c r="K4" s="1">
        <v>150</v>
      </c>
    </row>
    <row r="5" spans="2:25">
      <c r="B5" s="151" t="s">
        <v>13</v>
      </c>
      <c r="C5" s="152"/>
      <c r="D5" s="128" t="s">
        <v>20</v>
      </c>
      <c r="E5" s="145"/>
      <c r="F5" s="4" t="s">
        <v>23</v>
      </c>
      <c r="G5" s="60">
        <v>12</v>
      </c>
    </row>
    <row r="6" spans="2:25">
      <c r="B6" s="150" t="s">
        <v>14</v>
      </c>
      <c r="C6" s="150"/>
      <c r="D6" s="128" t="s">
        <v>21</v>
      </c>
      <c r="E6" s="145"/>
      <c r="F6" s="4" t="s">
        <v>24</v>
      </c>
      <c r="G6" s="60">
        <v>5</v>
      </c>
    </row>
    <row r="7" spans="2:25">
      <c r="T7" s="32"/>
    </row>
    <row r="8" spans="2:25">
      <c r="T8" s="32"/>
    </row>
    <row r="9" spans="2:25">
      <c r="T9" s="32"/>
    </row>
    <row r="10" spans="2:25">
      <c r="B10" s="142" t="s">
        <v>4</v>
      </c>
      <c r="C10" s="142"/>
      <c r="T10" s="32"/>
    </row>
    <row r="11" spans="2:25">
      <c r="B11" s="124" t="s">
        <v>81</v>
      </c>
      <c r="C11" s="124"/>
      <c r="D11" s="2" t="s">
        <v>1</v>
      </c>
      <c r="E11" s="124" t="s">
        <v>3</v>
      </c>
      <c r="F11" s="124"/>
      <c r="G11" s="124" t="s">
        <v>6</v>
      </c>
      <c r="H11" s="124"/>
      <c r="I11" s="124" t="s">
        <v>58</v>
      </c>
      <c r="J11" s="124"/>
      <c r="K11" s="121" t="s">
        <v>59</v>
      </c>
      <c r="L11" s="123"/>
      <c r="O11" s="124" t="s">
        <v>83</v>
      </c>
      <c r="P11" s="124"/>
      <c r="T11" s="32"/>
      <c r="U11" s="19"/>
      <c r="V11" s="19"/>
      <c r="W11" s="19"/>
      <c r="X11" s="19"/>
      <c r="Y11" s="19"/>
    </row>
    <row r="12" spans="2:25">
      <c r="B12" s="125" t="s">
        <v>2</v>
      </c>
      <c r="C12" s="125"/>
      <c r="D12" s="1">
        <v>1</v>
      </c>
      <c r="E12" s="128">
        <v>120</v>
      </c>
      <c r="F12" s="128"/>
      <c r="G12" s="130">
        <v>13.679</v>
      </c>
      <c r="H12" s="130"/>
      <c r="I12" s="126">
        <f>D12*E12*G12</f>
        <v>1641.48</v>
      </c>
      <c r="J12" s="127"/>
      <c r="K12" s="130">
        <f>7*I12</f>
        <v>11490.36</v>
      </c>
      <c r="L12" s="130"/>
      <c r="O12" s="130">
        <f>I12/14</f>
        <v>117.24857142857142</v>
      </c>
      <c r="P12" s="130"/>
      <c r="T12" s="32"/>
      <c r="Y12" s="19"/>
    </row>
    <row r="13" spans="2:25">
      <c r="B13" s="125" t="s">
        <v>7</v>
      </c>
      <c r="C13" s="125"/>
      <c r="D13" s="1">
        <v>9</v>
      </c>
      <c r="E13" s="128">
        <v>40</v>
      </c>
      <c r="F13" s="128"/>
      <c r="G13" s="130">
        <v>8</v>
      </c>
      <c r="H13" s="130"/>
      <c r="I13" s="126">
        <f t="shared" ref="I13:I20" si="0">D13*E13*G13</f>
        <v>2880</v>
      </c>
      <c r="J13" s="127"/>
      <c r="K13" s="130">
        <f t="shared" ref="K13:K20" si="1">7*I13</f>
        <v>20160</v>
      </c>
      <c r="L13" s="130"/>
      <c r="O13" s="130">
        <f t="shared" ref="O13:O20" si="2">I13/14</f>
        <v>205.71428571428572</v>
      </c>
      <c r="P13" s="130"/>
      <c r="T13" s="32"/>
      <c r="Y13" s="19"/>
    </row>
    <row r="14" spans="2:25">
      <c r="B14" s="125" t="s">
        <v>5</v>
      </c>
      <c r="C14" s="125"/>
      <c r="D14" s="1">
        <v>1</v>
      </c>
      <c r="E14" s="128">
        <v>200</v>
      </c>
      <c r="F14" s="128"/>
      <c r="G14" s="130">
        <v>13.679</v>
      </c>
      <c r="H14" s="130"/>
      <c r="I14" s="126">
        <f t="shared" si="0"/>
        <v>2735.8</v>
      </c>
      <c r="J14" s="127"/>
      <c r="K14" s="130">
        <f t="shared" si="1"/>
        <v>19150.600000000002</v>
      </c>
      <c r="L14" s="130"/>
      <c r="O14" s="130">
        <f t="shared" si="2"/>
        <v>195.41428571428574</v>
      </c>
      <c r="P14" s="130"/>
      <c r="T14" s="32"/>
      <c r="Y14" s="19"/>
    </row>
    <row r="15" spans="2:25">
      <c r="B15" s="125" t="s">
        <v>8</v>
      </c>
      <c r="C15" s="125"/>
      <c r="D15" s="1">
        <v>3</v>
      </c>
      <c r="E15" s="128">
        <v>6</v>
      </c>
      <c r="F15" s="128"/>
      <c r="G15" s="130">
        <v>13.679</v>
      </c>
      <c r="H15" s="130"/>
      <c r="I15" s="126">
        <f t="shared" si="0"/>
        <v>246.22200000000001</v>
      </c>
      <c r="J15" s="127"/>
      <c r="K15" s="130">
        <f t="shared" si="1"/>
        <v>1723.5540000000001</v>
      </c>
      <c r="L15" s="130"/>
      <c r="O15" s="130">
        <f t="shared" si="2"/>
        <v>17.587285714285716</v>
      </c>
      <c r="P15" s="130"/>
      <c r="T15" s="32"/>
      <c r="Y15" s="19"/>
    </row>
    <row r="16" spans="2:25">
      <c r="B16" s="125" t="s">
        <v>10</v>
      </c>
      <c r="C16" s="125"/>
      <c r="D16" s="1">
        <v>3</v>
      </c>
      <c r="E16" s="128">
        <v>8</v>
      </c>
      <c r="F16" s="128"/>
      <c r="G16" s="130">
        <v>1</v>
      </c>
      <c r="H16" s="130"/>
      <c r="I16" s="126">
        <f t="shared" si="0"/>
        <v>24</v>
      </c>
      <c r="J16" s="127"/>
      <c r="K16" s="130">
        <f t="shared" si="1"/>
        <v>168</v>
      </c>
      <c r="L16" s="130"/>
      <c r="O16" s="130">
        <f t="shared" si="2"/>
        <v>1.7142857142857142</v>
      </c>
      <c r="P16" s="130"/>
      <c r="T16" s="32"/>
      <c r="Y16" s="19"/>
    </row>
    <row r="17" spans="1:30">
      <c r="B17" s="125" t="s">
        <v>9</v>
      </c>
      <c r="C17" s="125"/>
      <c r="D17" s="1">
        <v>4</v>
      </c>
      <c r="E17" s="128">
        <v>8</v>
      </c>
      <c r="F17" s="128"/>
      <c r="G17" s="130">
        <v>13.679</v>
      </c>
      <c r="H17" s="130"/>
      <c r="I17" s="126">
        <f t="shared" si="0"/>
        <v>437.72800000000001</v>
      </c>
      <c r="J17" s="127"/>
      <c r="K17" s="130">
        <f t="shared" si="1"/>
        <v>3064.096</v>
      </c>
      <c r="L17" s="130"/>
      <c r="O17" s="130">
        <f t="shared" si="2"/>
        <v>31.266285714285715</v>
      </c>
      <c r="P17" s="130"/>
      <c r="T17" s="32"/>
      <c r="Y17" s="19"/>
    </row>
    <row r="18" spans="1:30">
      <c r="B18" s="125" t="s">
        <v>11</v>
      </c>
      <c r="C18" s="125"/>
      <c r="D18" s="1">
        <v>4</v>
      </c>
      <c r="E18" s="128">
        <v>1500</v>
      </c>
      <c r="F18" s="128"/>
      <c r="G18" s="130">
        <v>0.5</v>
      </c>
      <c r="H18" s="130"/>
      <c r="I18" s="126">
        <f t="shared" si="0"/>
        <v>3000</v>
      </c>
      <c r="J18" s="127"/>
      <c r="K18" s="130">
        <f t="shared" si="1"/>
        <v>21000</v>
      </c>
      <c r="L18" s="130"/>
      <c r="O18" s="130">
        <f t="shared" si="2"/>
        <v>214.28571428571428</v>
      </c>
      <c r="P18" s="130"/>
      <c r="T18" s="32"/>
      <c r="Y18" s="19"/>
    </row>
    <row r="19" spans="1:30">
      <c r="B19" s="125" t="s">
        <v>15</v>
      </c>
      <c r="C19" s="125"/>
      <c r="D19" s="1">
        <v>25</v>
      </c>
      <c r="E19" s="128">
        <v>50</v>
      </c>
      <c r="F19" s="128"/>
      <c r="G19" s="130">
        <v>13.679</v>
      </c>
      <c r="H19" s="130"/>
      <c r="I19" s="126">
        <f t="shared" si="0"/>
        <v>17098.75</v>
      </c>
      <c r="J19" s="127"/>
      <c r="K19" s="130">
        <f t="shared" si="1"/>
        <v>119691.25</v>
      </c>
      <c r="L19" s="130"/>
      <c r="O19" s="130">
        <f t="shared" si="2"/>
        <v>1221.3392857142858</v>
      </c>
      <c r="P19" s="130"/>
      <c r="T19" s="32"/>
      <c r="Y19" s="19"/>
    </row>
    <row r="20" spans="1:30">
      <c r="B20" s="125" t="s">
        <v>16</v>
      </c>
      <c r="C20" s="125"/>
      <c r="D20" s="3">
        <v>8</v>
      </c>
      <c r="E20" s="128">
        <v>21</v>
      </c>
      <c r="F20" s="128"/>
      <c r="G20" s="130">
        <v>8</v>
      </c>
      <c r="H20" s="130"/>
      <c r="I20" s="130">
        <f t="shared" si="0"/>
        <v>1344</v>
      </c>
      <c r="J20" s="130"/>
      <c r="K20" s="130">
        <f t="shared" si="1"/>
        <v>9408</v>
      </c>
      <c r="L20" s="130"/>
      <c r="O20" s="157">
        <f t="shared" si="2"/>
        <v>96</v>
      </c>
      <c r="P20" s="130"/>
      <c r="T20" s="32"/>
      <c r="U20" s="19"/>
      <c r="V20" s="19"/>
      <c r="W20" s="22"/>
      <c r="X20" s="19"/>
      <c r="Y20" s="19"/>
    </row>
    <row r="21" spans="1:30">
      <c r="E21" s="135" t="s">
        <v>22</v>
      </c>
      <c r="F21" s="136"/>
      <c r="I21" s="124" t="s">
        <v>82</v>
      </c>
      <c r="J21" s="124"/>
      <c r="K21" s="131">
        <f>SUM(K12:L20)</f>
        <v>205855.86000000002</v>
      </c>
      <c r="L21" s="124"/>
      <c r="N21" s="124" t="s">
        <v>84</v>
      </c>
      <c r="O21" s="124"/>
      <c r="P21" s="7">
        <f>SUM(O12:P20)</f>
        <v>2100.5699999999997</v>
      </c>
      <c r="T21" s="32"/>
      <c r="U21" s="19"/>
      <c r="V21" s="19"/>
      <c r="W21" s="19"/>
      <c r="X21" s="19"/>
      <c r="Y21" s="19"/>
    </row>
    <row r="22" spans="1:30">
      <c r="E22" s="62"/>
      <c r="F22" s="63"/>
      <c r="H22" s="32"/>
      <c r="I22" s="11"/>
      <c r="J22" s="11"/>
      <c r="K22" s="12"/>
      <c r="L22" s="11"/>
      <c r="M22" s="32"/>
      <c r="N22" s="11"/>
      <c r="O22" s="11"/>
      <c r="P22" s="65"/>
      <c r="T22" s="32"/>
      <c r="U22" s="19"/>
      <c r="V22" s="19"/>
      <c r="W22" s="19"/>
      <c r="X22" s="19"/>
      <c r="Y22" s="19"/>
    </row>
    <row r="23" spans="1:30">
      <c r="B23" s="132" t="s">
        <v>262</v>
      </c>
      <c r="C23" s="133"/>
      <c r="E23" s="62"/>
      <c r="F23" s="63"/>
      <c r="H23" s="32"/>
      <c r="I23" s="11"/>
      <c r="J23" s="11"/>
      <c r="K23" s="12"/>
      <c r="L23" s="11"/>
      <c r="M23" s="32"/>
      <c r="N23" s="11"/>
      <c r="O23" s="11"/>
      <c r="P23" s="65"/>
      <c r="U23" s="19"/>
      <c r="V23" s="19"/>
      <c r="W23" s="19"/>
      <c r="X23" s="19"/>
      <c r="Y23" s="19"/>
    </row>
    <row r="24" spans="1:30" ht="15" customHeight="1">
      <c r="A24" s="120" t="s">
        <v>262</v>
      </c>
      <c r="B24" s="124" t="s">
        <v>81</v>
      </c>
      <c r="C24" s="124"/>
      <c r="D24" s="61" t="s">
        <v>1</v>
      </c>
      <c r="E24" s="124" t="s">
        <v>3</v>
      </c>
      <c r="F24" s="124"/>
      <c r="G24" s="124" t="s">
        <v>6</v>
      </c>
      <c r="H24" s="124"/>
      <c r="I24" s="124" t="s">
        <v>58</v>
      </c>
      <c r="J24" s="124"/>
      <c r="K24" s="121" t="s">
        <v>59</v>
      </c>
      <c r="L24" s="123"/>
      <c r="M24" s="32"/>
      <c r="N24" s="120" t="s">
        <v>262</v>
      </c>
      <c r="O24" s="124" t="s">
        <v>83</v>
      </c>
      <c r="P24" s="124"/>
      <c r="R24" s="120" t="s">
        <v>262</v>
      </c>
      <c r="S24" s="124" t="s">
        <v>81</v>
      </c>
      <c r="T24" s="124"/>
      <c r="U24" s="124" t="s">
        <v>58</v>
      </c>
      <c r="V24" s="124"/>
      <c r="W24" s="121" t="s">
        <v>59</v>
      </c>
      <c r="X24" s="123"/>
      <c r="Y24" s="11"/>
      <c r="Z24" s="120" t="s">
        <v>262</v>
      </c>
      <c r="AA24" s="124" t="s">
        <v>81</v>
      </c>
      <c r="AB24" s="124"/>
      <c r="AC24" s="124" t="s">
        <v>83</v>
      </c>
      <c r="AD24" s="124"/>
    </row>
    <row r="25" spans="1:30" ht="15" customHeight="1">
      <c r="A25" s="120"/>
      <c r="B25" s="125" t="s">
        <v>2</v>
      </c>
      <c r="C25" s="125"/>
      <c r="D25" s="1">
        <v>1</v>
      </c>
      <c r="E25" s="128">
        <v>120</v>
      </c>
      <c r="F25" s="128"/>
      <c r="G25" s="137">
        <f>$G$4</f>
        <v>15.75</v>
      </c>
      <c r="H25" s="137"/>
      <c r="I25" s="126">
        <f>D25*E25*G25</f>
        <v>1890</v>
      </c>
      <c r="J25" s="127"/>
      <c r="K25" s="130">
        <f>5*I25</f>
        <v>9450</v>
      </c>
      <c r="L25" s="130"/>
      <c r="M25" s="32"/>
      <c r="N25" s="120"/>
      <c r="O25" s="130">
        <f>I25/$G$4</f>
        <v>120</v>
      </c>
      <c r="P25" s="130"/>
      <c r="R25" s="120"/>
      <c r="S25" s="125" t="s">
        <v>2</v>
      </c>
      <c r="T25" s="125"/>
      <c r="U25" s="126">
        <f>I25</f>
        <v>1890</v>
      </c>
      <c r="V25" s="127"/>
      <c r="W25" s="130">
        <f>K25</f>
        <v>9450</v>
      </c>
      <c r="X25" s="130"/>
      <c r="Y25" s="12"/>
      <c r="Z25" s="120"/>
      <c r="AA25" s="125" t="s">
        <v>2</v>
      </c>
      <c r="AB25" s="125"/>
      <c r="AC25" s="130">
        <f>O25</f>
        <v>120</v>
      </c>
      <c r="AD25" s="130"/>
    </row>
    <row r="26" spans="1:30">
      <c r="A26" s="120"/>
      <c r="B26" s="125" t="s">
        <v>7</v>
      </c>
      <c r="C26" s="125"/>
      <c r="D26" s="1">
        <v>9</v>
      </c>
      <c r="E26" s="128">
        <v>40</v>
      </c>
      <c r="F26" s="128"/>
      <c r="G26" s="137">
        <f t="shared" ref="G26:G27" si="3">$G$4</f>
        <v>15.75</v>
      </c>
      <c r="H26" s="137"/>
      <c r="I26" s="126">
        <f t="shared" ref="I26:I33" si="4">D26*E26*G26</f>
        <v>5670</v>
      </c>
      <c r="J26" s="127"/>
      <c r="K26" s="130">
        <f t="shared" ref="K26:K33" si="5">5*I26</f>
        <v>28350</v>
      </c>
      <c r="L26" s="130"/>
      <c r="M26" s="32"/>
      <c r="N26" s="120"/>
      <c r="O26" s="130">
        <f t="shared" ref="O26:O33" si="6">I26/$G$4</f>
        <v>360</v>
      </c>
      <c r="P26" s="130"/>
      <c r="R26" s="120"/>
      <c r="S26" s="125" t="s">
        <v>7</v>
      </c>
      <c r="T26" s="125"/>
      <c r="U26" s="126">
        <f t="shared" ref="U26:U33" si="7">I26</f>
        <v>5670</v>
      </c>
      <c r="V26" s="127"/>
      <c r="W26" s="130">
        <f t="shared" ref="W26:W33" si="8">K26</f>
        <v>28350</v>
      </c>
      <c r="X26" s="130"/>
      <c r="Y26" s="12"/>
      <c r="Z26" s="120"/>
      <c r="AA26" s="125" t="s">
        <v>7</v>
      </c>
      <c r="AB26" s="125"/>
      <c r="AC26" s="130">
        <f t="shared" ref="AC26:AC33" si="9">O26</f>
        <v>360</v>
      </c>
      <c r="AD26" s="130"/>
    </row>
    <row r="27" spans="1:30">
      <c r="A27" s="120"/>
      <c r="B27" s="125" t="s">
        <v>5</v>
      </c>
      <c r="C27" s="125"/>
      <c r="D27" s="1">
        <v>1</v>
      </c>
      <c r="E27" s="128">
        <v>200</v>
      </c>
      <c r="F27" s="128"/>
      <c r="G27" s="137">
        <f t="shared" si="3"/>
        <v>15.75</v>
      </c>
      <c r="H27" s="137"/>
      <c r="I27" s="126">
        <f t="shared" si="4"/>
        <v>3150</v>
      </c>
      <c r="J27" s="127"/>
      <c r="K27" s="130">
        <f t="shared" si="5"/>
        <v>15750</v>
      </c>
      <c r="L27" s="130"/>
      <c r="M27" s="32"/>
      <c r="N27" s="120"/>
      <c r="O27" s="130">
        <f t="shared" si="6"/>
        <v>200</v>
      </c>
      <c r="P27" s="130"/>
      <c r="R27" s="120"/>
      <c r="S27" s="125" t="s">
        <v>5</v>
      </c>
      <c r="T27" s="125"/>
      <c r="U27" s="126">
        <f t="shared" si="7"/>
        <v>3150</v>
      </c>
      <c r="V27" s="127"/>
      <c r="W27" s="130">
        <f t="shared" si="8"/>
        <v>15750</v>
      </c>
      <c r="X27" s="130"/>
      <c r="Y27" s="12"/>
      <c r="Z27" s="120"/>
      <c r="AA27" s="125" t="s">
        <v>5</v>
      </c>
      <c r="AB27" s="125"/>
      <c r="AC27" s="130">
        <f t="shared" si="9"/>
        <v>200</v>
      </c>
      <c r="AD27" s="130"/>
    </row>
    <row r="28" spans="1:30">
      <c r="A28" s="120"/>
      <c r="B28" s="125" t="s">
        <v>8</v>
      </c>
      <c r="C28" s="125"/>
      <c r="D28" s="1">
        <v>3</v>
      </c>
      <c r="E28" s="128">
        <v>6</v>
      </c>
      <c r="F28" s="128"/>
      <c r="G28" s="137">
        <f>$G$4</f>
        <v>15.75</v>
      </c>
      <c r="H28" s="137"/>
      <c r="I28" s="126">
        <f t="shared" si="4"/>
        <v>283.5</v>
      </c>
      <c r="J28" s="127"/>
      <c r="K28" s="130">
        <f t="shared" si="5"/>
        <v>1417.5</v>
      </c>
      <c r="L28" s="130"/>
      <c r="M28" s="32"/>
      <c r="N28" s="120"/>
      <c r="O28" s="130">
        <f t="shared" si="6"/>
        <v>18</v>
      </c>
      <c r="P28" s="130"/>
      <c r="R28" s="120"/>
      <c r="S28" s="125" t="s">
        <v>8</v>
      </c>
      <c r="T28" s="125"/>
      <c r="U28" s="126">
        <f t="shared" si="7"/>
        <v>283.5</v>
      </c>
      <c r="V28" s="127"/>
      <c r="W28" s="130">
        <f t="shared" si="8"/>
        <v>1417.5</v>
      </c>
      <c r="X28" s="130"/>
      <c r="Y28" s="12"/>
      <c r="Z28" s="120"/>
      <c r="AA28" s="125" t="s">
        <v>8</v>
      </c>
      <c r="AB28" s="125"/>
      <c r="AC28" s="130">
        <f t="shared" si="9"/>
        <v>18</v>
      </c>
      <c r="AD28" s="130"/>
    </row>
    <row r="29" spans="1:30">
      <c r="A29" s="120"/>
      <c r="B29" s="125" t="s">
        <v>10</v>
      </c>
      <c r="C29" s="125"/>
      <c r="D29" s="1">
        <v>3</v>
      </c>
      <c r="E29" s="128">
        <v>8</v>
      </c>
      <c r="F29" s="128"/>
      <c r="G29" s="137">
        <v>1</v>
      </c>
      <c r="H29" s="137"/>
      <c r="I29" s="126">
        <f t="shared" si="4"/>
        <v>24</v>
      </c>
      <c r="J29" s="127"/>
      <c r="K29" s="130">
        <f t="shared" si="5"/>
        <v>120</v>
      </c>
      <c r="L29" s="130"/>
      <c r="M29" s="32"/>
      <c r="N29" s="120"/>
      <c r="O29" s="130">
        <f t="shared" si="6"/>
        <v>1.5238095238095237</v>
      </c>
      <c r="P29" s="130"/>
      <c r="R29" s="120"/>
      <c r="S29" s="125" t="s">
        <v>10</v>
      </c>
      <c r="T29" s="125"/>
      <c r="U29" s="126">
        <f t="shared" si="7"/>
        <v>24</v>
      </c>
      <c r="V29" s="127"/>
      <c r="W29" s="130">
        <f t="shared" si="8"/>
        <v>120</v>
      </c>
      <c r="X29" s="130"/>
      <c r="Y29" s="12"/>
      <c r="Z29" s="120"/>
      <c r="AA29" s="125" t="s">
        <v>10</v>
      </c>
      <c r="AB29" s="125"/>
      <c r="AC29" s="130">
        <f t="shared" si="9"/>
        <v>1.5238095238095237</v>
      </c>
      <c r="AD29" s="130"/>
    </row>
    <row r="30" spans="1:30">
      <c r="A30" s="120"/>
      <c r="B30" s="125" t="s">
        <v>9</v>
      </c>
      <c r="C30" s="125"/>
      <c r="D30" s="1">
        <v>4</v>
      </c>
      <c r="E30" s="128">
        <v>8</v>
      </c>
      <c r="F30" s="128"/>
      <c r="G30" s="137">
        <f>G4</f>
        <v>15.75</v>
      </c>
      <c r="H30" s="137"/>
      <c r="I30" s="126">
        <f t="shared" si="4"/>
        <v>504</v>
      </c>
      <c r="J30" s="127"/>
      <c r="K30" s="130">
        <f t="shared" si="5"/>
        <v>2520</v>
      </c>
      <c r="L30" s="130"/>
      <c r="M30" s="32"/>
      <c r="N30" s="120"/>
      <c r="O30" s="130">
        <f t="shared" si="6"/>
        <v>32</v>
      </c>
      <c r="P30" s="130"/>
      <c r="R30" s="120"/>
      <c r="S30" s="125" t="s">
        <v>9</v>
      </c>
      <c r="T30" s="125"/>
      <c r="U30" s="126">
        <f t="shared" si="7"/>
        <v>504</v>
      </c>
      <c r="V30" s="127"/>
      <c r="W30" s="130">
        <f t="shared" si="8"/>
        <v>2520</v>
      </c>
      <c r="X30" s="130"/>
      <c r="Y30" s="12"/>
      <c r="Z30" s="120"/>
      <c r="AA30" s="125" t="s">
        <v>9</v>
      </c>
      <c r="AB30" s="125"/>
      <c r="AC30" s="130">
        <f t="shared" si="9"/>
        <v>32</v>
      </c>
      <c r="AD30" s="130"/>
    </row>
    <row r="31" spans="1:30">
      <c r="A31" s="120"/>
      <c r="B31" s="125" t="s">
        <v>11</v>
      </c>
      <c r="C31" s="125"/>
      <c r="D31" s="1">
        <v>4</v>
      </c>
      <c r="E31" s="128">
        <v>1500</v>
      </c>
      <c r="F31" s="128"/>
      <c r="G31" s="137">
        <v>0.5</v>
      </c>
      <c r="H31" s="137"/>
      <c r="I31" s="126">
        <f t="shared" si="4"/>
        <v>3000</v>
      </c>
      <c r="J31" s="127"/>
      <c r="K31" s="130">
        <f t="shared" si="5"/>
        <v>15000</v>
      </c>
      <c r="L31" s="130"/>
      <c r="M31" s="32"/>
      <c r="N31" s="120"/>
      <c r="O31" s="130">
        <f t="shared" si="6"/>
        <v>190.47619047619048</v>
      </c>
      <c r="P31" s="130"/>
      <c r="R31" s="120"/>
      <c r="S31" s="125" t="s">
        <v>11</v>
      </c>
      <c r="T31" s="125"/>
      <c r="U31" s="126">
        <f t="shared" si="7"/>
        <v>3000</v>
      </c>
      <c r="V31" s="127"/>
      <c r="W31" s="130">
        <f t="shared" si="8"/>
        <v>15000</v>
      </c>
      <c r="X31" s="130"/>
      <c r="Y31" s="12"/>
      <c r="Z31" s="120"/>
      <c r="AA31" s="125" t="s">
        <v>11</v>
      </c>
      <c r="AB31" s="125"/>
      <c r="AC31" s="130">
        <f t="shared" si="9"/>
        <v>190.47619047619048</v>
      </c>
      <c r="AD31" s="130"/>
    </row>
    <row r="32" spans="1:30">
      <c r="A32" s="120"/>
      <c r="B32" s="125" t="s">
        <v>15</v>
      </c>
      <c r="C32" s="125"/>
      <c r="D32" s="1">
        <v>25</v>
      </c>
      <c r="E32" s="128">
        <v>50</v>
      </c>
      <c r="F32" s="128"/>
      <c r="G32" s="137">
        <f>G4</f>
        <v>15.75</v>
      </c>
      <c r="H32" s="137"/>
      <c r="I32" s="126">
        <f t="shared" si="4"/>
        <v>19687.5</v>
      </c>
      <c r="J32" s="127"/>
      <c r="K32" s="130">
        <f t="shared" si="5"/>
        <v>98437.5</v>
      </c>
      <c r="L32" s="130"/>
      <c r="M32" s="32"/>
      <c r="N32" s="120"/>
      <c r="O32" s="130">
        <f t="shared" si="6"/>
        <v>1250</v>
      </c>
      <c r="P32" s="130"/>
      <c r="R32" s="120"/>
      <c r="S32" s="125" t="s">
        <v>15</v>
      </c>
      <c r="T32" s="125"/>
      <c r="U32" s="126">
        <f t="shared" si="7"/>
        <v>19687.5</v>
      </c>
      <c r="V32" s="127"/>
      <c r="W32" s="130">
        <f t="shared" si="8"/>
        <v>98437.5</v>
      </c>
      <c r="X32" s="130"/>
      <c r="Y32" s="12"/>
      <c r="Z32" s="120"/>
      <c r="AA32" s="125" t="s">
        <v>15</v>
      </c>
      <c r="AB32" s="125"/>
      <c r="AC32" s="130">
        <f t="shared" si="9"/>
        <v>1250</v>
      </c>
      <c r="AD32" s="130"/>
    </row>
    <row r="33" spans="1:31">
      <c r="A33" s="120"/>
      <c r="B33" s="125" t="s">
        <v>16</v>
      </c>
      <c r="C33" s="125"/>
      <c r="D33" s="3">
        <v>8</v>
      </c>
      <c r="E33" s="128">
        <v>21</v>
      </c>
      <c r="F33" s="128"/>
      <c r="G33" s="137">
        <v>8</v>
      </c>
      <c r="H33" s="137"/>
      <c r="I33" s="130">
        <f t="shared" si="4"/>
        <v>1344</v>
      </c>
      <c r="J33" s="130"/>
      <c r="K33" s="130">
        <f t="shared" si="5"/>
        <v>6720</v>
      </c>
      <c r="L33" s="130"/>
      <c r="M33" s="32"/>
      <c r="N33" s="120"/>
      <c r="O33" s="130">
        <f t="shared" si="6"/>
        <v>85.333333333333329</v>
      </c>
      <c r="P33" s="130"/>
      <c r="R33" s="120"/>
      <c r="S33" s="125" t="s">
        <v>16</v>
      </c>
      <c r="T33" s="125"/>
      <c r="U33" s="126">
        <f t="shared" si="7"/>
        <v>1344</v>
      </c>
      <c r="V33" s="127"/>
      <c r="W33" s="130">
        <f t="shared" si="8"/>
        <v>6720</v>
      </c>
      <c r="X33" s="130"/>
      <c r="Y33" s="12"/>
      <c r="Z33" s="120"/>
      <c r="AA33" s="125" t="s">
        <v>16</v>
      </c>
      <c r="AB33" s="125"/>
      <c r="AC33" s="130">
        <f t="shared" si="9"/>
        <v>85.333333333333329</v>
      </c>
      <c r="AD33" s="130"/>
    </row>
    <row r="34" spans="1:31">
      <c r="E34" s="135" t="s">
        <v>22</v>
      </c>
      <c r="F34" s="136"/>
      <c r="I34" s="124" t="s">
        <v>82</v>
      </c>
      <c r="J34" s="124"/>
      <c r="K34" s="131">
        <f>SUM(K25:L33)</f>
        <v>177765</v>
      </c>
      <c r="L34" s="124"/>
      <c r="M34" s="32"/>
      <c r="N34" s="124" t="s">
        <v>84</v>
      </c>
      <c r="O34" s="124"/>
      <c r="P34" s="7">
        <f>SUM(O25:P33)</f>
        <v>2257.3333333333335</v>
      </c>
      <c r="R34" s="121" t="s">
        <v>300</v>
      </c>
      <c r="S34" s="122"/>
      <c r="T34" s="122"/>
      <c r="U34" s="122"/>
      <c r="V34" s="123"/>
      <c r="W34" s="131">
        <f>SUM(W25:X33)</f>
        <v>177765</v>
      </c>
      <c r="X34" s="124"/>
      <c r="Y34" s="11"/>
      <c r="Z34" s="120"/>
      <c r="AA34" s="124" t="s">
        <v>322</v>
      </c>
      <c r="AB34" s="124"/>
      <c r="AC34" s="124"/>
      <c r="AD34" s="7">
        <f>SUM(AC25:AD33)</f>
        <v>2257.3333333333335</v>
      </c>
    </row>
    <row r="35" spans="1:31">
      <c r="B35" s="32"/>
      <c r="C35" s="32"/>
      <c r="D35" s="32"/>
      <c r="E35" s="67"/>
      <c r="F35" s="11"/>
      <c r="G35" s="32"/>
      <c r="H35" s="32"/>
      <c r="I35" s="11"/>
      <c r="J35" s="11"/>
      <c r="K35" s="12"/>
      <c r="L35" s="11"/>
      <c r="M35" s="32"/>
      <c r="N35" s="11"/>
      <c r="O35" s="11"/>
      <c r="P35" s="66"/>
      <c r="Q35" s="32"/>
      <c r="R35" s="32"/>
      <c r="S35" s="32"/>
      <c r="T35" s="32"/>
      <c r="U35" s="11"/>
      <c r="V35" s="11"/>
      <c r="W35" s="12"/>
      <c r="X35" s="11"/>
      <c r="Y35" s="11"/>
      <c r="Z35" s="19"/>
      <c r="AA35" s="11"/>
      <c r="AB35" s="11"/>
      <c r="AC35" s="11"/>
      <c r="AD35" s="66"/>
      <c r="AE35" s="32"/>
    </row>
    <row r="36" spans="1:31">
      <c r="B36" s="134" t="s">
        <v>263</v>
      </c>
      <c r="C36" s="134"/>
      <c r="E36" s="62"/>
      <c r="F36" s="63"/>
      <c r="H36" s="32"/>
      <c r="I36" s="11"/>
      <c r="J36" s="11"/>
      <c r="K36" s="12"/>
      <c r="L36" s="11"/>
      <c r="M36" s="32"/>
      <c r="N36" s="11"/>
      <c r="O36" s="11"/>
      <c r="P36" s="65"/>
      <c r="U36" s="19"/>
      <c r="V36" s="19"/>
      <c r="W36" s="19"/>
      <c r="X36" s="19"/>
      <c r="Y36" s="19"/>
      <c r="Z36" s="19"/>
    </row>
    <row r="37" spans="1:31">
      <c r="A37" s="120" t="s">
        <v>263</v>
      </c>
      <c r="B37" s="124" t="s">
        <v>81</v>
      </c>
      <c r="C37" s="124"/>
      <c r="D37" s="61" t="s">
        <v>1</v>
      </c>
      <c r="E37" s="124" t="s">
        <v>3</v>
      </c>
      <c r="F37" s="124"/>
      <c r="G37" s="124" t="s">
        <v>6</v>
      </c>
      <c r="H37" s="124"/>
      <c r="I37" s="124" t="s">
        <v>58</v>
      </c>
      <c r="J37" s="124"/>
      <c r="K37" s="121" t="s">
        <v>59</v>
      </c>
      <c r="L37" s="123"/>
      <c r="M37" s="32"/>
      <c r="N37" s="120" t="s">
        <v>263</v>
      </c>
      <c r="O37" s="124" t="s">
        <v>83</v>
      </c>
      <c r="P37" s="124"/>
      <c r="R37" s="120" t="s">
        <v>263</v>
      </c>
      <c r="S37" s="124" t="s">
        <v>81</v>
      </c>
      <c r="T37" s="124"/>
      <c r="U37" s="124" t="s">
        <v>58</v>
      </c>
      <c r="V37" s="124"/>
      <c r="W37" s="121" t="s">
        <v>59</v>
      </c>
      <c r="X37" s="123"/>
      <c r="Y37" s="11"/>
      <c r="Z37" s="120" t="s">
        <v>263</v>
      </c>
      <c r="AA37" s="124" t="s">
        <v>81</v>
      </c>
      <c r="AB37" s="124"/>
      <c r="AC37" s="124" t="s">
        <v>83</v>
      </c>
      <c r="AD37" s="124"/>
    </row>
    <row r="38" spans="1:31" ht="15" customHeight="1">
      <c r="A38" s="120"/>
      <c r="B38" s="125" t="s">
        <v>2</v>
      </c>
      <c r="C38" s="125"/>
      <c r="D38" s="1">
        <v>1</v>
      </c>
      <c r="E38" s="128">
        <v>120</v>
      </c>
      <c r="F38" s="128"/>
      <c r="G38" s="137">
        <f>$G$5</f>
        <v>12</v>
      </c>
      <c r="H38" s="137"/>
      <c r="I38" s="126">
        <f>D38*E38*G38</f>
        <v>1440</v>
      </c>
      <c r="J38" s="127"/>
      <c r="K38" s="130">
        <f>I38</f>
        <v>1440</v>
      </c>
      <c r="L38" s="130"/>
      <c r="M38" s="32"/>
      <c r="N38" s="120"/>
      <c r="O38" s="130">
        <f>I38/$G$5</f>
        <v>120</v>
      </c>
      <c r="P38" s="130"/>
      <c r="R38" s="120"/>
      <c r="S38" s="125" t="s">
        <v>2</v>
      </c>
      <c r="T38" s="125"/>
      <c r="U38" s="126">
        <f>I38</f>
        <v>1440</v>
      </c>
      <c r="V38" s="127"/>
      <c r="W38" s="130">
        <f>K38</f>
        <v>1440</v>
      </c>
      <c r="X38" s="130"/>
      <c r="Y38" s="12"/>
      <c r="Z38" s="120"/>
      <c r="AA38" s="125" t="s">
        <v>2</v>
      </c>
      <c r="AB38" s="125"/>
      <c r="AC38" s="130">
        <f>O38</f>
        <v>120</v>
      </c>
      <c r="AD38" s="130"/>
    </row>
    <row r="39" spans="1:31">
      <c r="A39" s="120"/>
      <c r="B39" s="125" t="s">
        <v>7</v>
      </c>
      <c r="C39" s="125"/>
      <c r="D39" s="1">
        <v>9</v>
      </c>
      <c r="E39" s="128">
        <v>40</v>
      </c>
      <c r="F39" s="128"/>
      <c r="G39" s="137">
        <f t="shared" ref="G39:G41" si="10">$G$5</f>
        <v>12</v>
      </c>
      <c r="H39" s="137"/>
      <c r="I39" s="126">
        <f t="shared" ref="I39:I46" si="11">D39*E39*G39</f>
        <v>4320</v>
      </c>
      <c r="J39" s="127"/>
      <c r="K39" s="130">
        <f t="shared" ref="K39:K46" si="12">I39</f>
        <v>4320</v>
      </c>
      <c r="L39" s="130"/>
      <c r="M39" s="32"/>
      <c r="N39" s="120"/>
      <c r="O39" s="130">
        <f t="shared" ref="O39:O46" si="13">I39/$G$5</f>
        <v>360</v>
      </c>
      <c r="P39" s="130"/>
      <c r="R39" s="120"/>
      <c r="S39" s="125" t="s">
        <v>7</v>
      </c>
      <c r="T39" s="125"/>
      <c r="U39" s="126">
        <f t="shared" ref="U39:U46" si="14">I39</f>
        <v>4320</v>
      </c>
      <c r="V39" s="127"/>
      <c r="W39" s="130">
        <f t="shared" ref="W39:W46" si="15">K39</f>
        <v>4320</v>
      </c>
      <c r="X39" s="130"/>
      <c r="Y39" s="12"/>
      <c r="Z39" s="120"/>
      <c r="AA39" s="125" t="s">
        <v>7</v>
      </c>
      <c r="AB39" s="125"/>
      <c r="AC39" s="130">
        <f t="shared" ref="AC39:AC46" si="16">O39</f>
        <v>360</v>
      </c>
      <c r="AD39" s="130"/>
    </row>
    <row r="40" spans="1:31">
      <c r="A40" s="120"/>
      <c r="B40" s="125" t="s">
        <v>5</v>
      </c>
      <c r="C40" s="125"/>
      <c r="D40" s="1">
        <v>1</v>
      </c>
      <c r="E40" s="128">
        <v>200</v>
      </c>
      <c r="F40" s="128"/>
      <c r="G40" s="137">
        <f t="shared" si="10"/>
        <v>12</v>
      </c>
      <c r="H40" s="137"/>
      <c r="I40" s="126">
        <f t="shared" si="11"/>
        <v>2400</v>
      </c>
      <c r="J40" s="127"/>
      <c r="K40" s="130">
        <f t="shared" si="12"/>
        <v>2400</v>
      </c>
      <c r="L40" s="130"/>
      <c r="M40" s="32"/>
      <c r="N40" s="120"/>
      <c r="O40" s="130">
        <f t="shared" si="13"/>
        <v>200</v>
      </c>
      <c r="P40" s="130"/>
      <c r="R40" s="120"/>
      <c r="S40" s="125" t="s">
        <v>5</v>
      </c>
      <c r="T40" s="125"/>
      <c r="U40" s="126">
        <f t="shared" si="14"/>
        <v>2400</v>
      </c>
      <c r="V40" s="127"/>
      <c r="W40" s="130">
        <f t="shared" si="15"/>
        <v>2400</v>
      </c>
      <c r="X40" s="130"/>
      <c r="Y40" s="12"/>
      <c r="Z40" s="120"/>
      <c r="AA40" s="125" t="s">
        <v>5</v>
      </c>
      <c r="AB40" s="125"/>
      <c r="AC40" s="130">
        <f t="shared" si="16"/>
        <v>200</v>
      </c>
      <c r="AD40" s="130"/>
    </row>
    <row r="41" spans="1:31">
      <c r="A41" s="120"/>
      <c r="B41" s="125" t="s">
        <v>8</v>
      </c>
      <c r="C41" s="125"/>
      <c r="D41" s="1">
        <v>3</v>
      </c>
      <c r="E41" s="128">
        <v>6</v>
      </c>
      <c r="F41" s="128"/>
      <c r="G41" s="137">
        <f t="shared" si="10"/>
        <v>12</v>
      </c>
      <c r="H41" s="137"/>
      <c r="I41" s="126">
        <f t="shared" si="11"/>
        <v>216</v>
      </c>
      <c r="J41" s="127"/>
      <c r="K41" s="130">
        <f t="shared" si="12"/>
        <v>216</v>
      </c>
      <c r="L41" s="130"/>
      <c r="M41" s="32"/>
      <c r="N41" s="120"/>
      <c r="O41" s="130">
        <f t="shared" si="13"/>
        <v>18</v>
      </c>
      <c r="P41" s="130"/>
      <c r="R41" s="120"/>
      <c r="S41" s="125" t="s">
        <v>8</v>
      </c>
      <c r="T41" s="125"/>
      <c r="U41" s="126">
        <f t="shared" si="14"/>
        <v>216</v>
      </c>
      <c r="V41" s="127"/>
      <c r="W41" s="130">
        <f t="shared" si="15"/>
        <v>216</v>
      </c>
      <c r="X41" s="130"/>
      <c r="Y41" s="12"/>
      <c r="Z41" s="120"/>
      <c r="AA41" s="125" t="s">
        <v>8</v>
      </c>
      <c r="AB41" s="125"/>
      <c r="AC41" s="130">
        <f t="shared" si="16"/>
        <v>18</v>
      </c>
      <c r="AD41" s="130"/>
    </row>
    <row r="42" spans="1:31">
      <c r="A42" s="120"/>
      <c r="B42" s="125" t="s">
        <v>10</v>
      </c>
      <c r="C42" s="125"/>
      <c r="D42" s="1">
        <v>3</v>
      </c>
      <c r="E42" s="128">
        <v>8</v>
      </c>
      <c r="F42" s="128"/>
      <c r="G42" s="137">
        <v>1</v>
      </c>
      <c r="H42" s="137"/>
      <c r="I42" s="126">
        <f t="shared" si="11"/>
        <v>24</v>
      </c>
      <c r="J42" s="127"/>
      <c r="K42" s="130">
        <f t="shared" si="12"/>
        <v>24</v>
      </c>
      <c r="L42" s="130"/>
      <c r="M42" s="32"/>
      <c r="N42" s="120"/>
      <c r="O42" s="130">
        <f t="shared" si="13"/>
        <v>2</v>
      </c>
      <c r="P42" s="130"/>
      <c r="R42" s="120"/>
      <c r="S42" s="125" t="s">
        <v>10</v>
      </c>
      <c r="T42" s="125"/>
      <c r="U42" s="126">
        <f t="shared" si="14"/>
        <v>24</v>
      </c>
      <c r="V42" s="127"/>
      <c r="W42" s="130">
        <f t="shared" si="15"/>
        <v>24</v>
      </c>
      <c r="X42" s="130"/>
      <c r="Y42" s="12"/>
      <c r="Z42" s="120"/>
      <c r="AA42" s="125" t="s">
        <v>10</v>
      </c>
      <c r="AB42" s="125"/>
      <c r="AC42" s="130">
        <f t="shared" si="16"/>
        <v>2</v>
      </c>
      <c r="AD42" s="130"/>
    </row>
    <row r="43" spans="1:31">
      <c r="A43" s="120"/>
      <c r="B43" s="125" t="s">
        <v>9</v>
      </c>
      <c r="C43" s="125"/>
      <c r="D43" s="1">
        <v>4</v>
      </c>
      <c r="E43" s="128">
        <v>8</v>
      </c>
      <c r="F43" s="128"/>
      <c r="G43" s="137">
        <f>G5</f>
        <v>12</v>
      </c>
      <c r="H43" s="137"/>
      <c r="I43" s="126">
        <f t="shared" si="11"/>
        <v>384</v>
      </c>
      <c r="J43" s="127"/>
      <c r="K43" s="130">
        <f t="shared" si="12"/>
        <v>384</v>
      </c>
      <c r="L43" s="130"/>
      <c r="M43" s="32"/>
      <c r="N43" s="120"/>
      <c r="O43" s="130">
        <f t="shared" si="13"/>
        <v>32</v>
      </c>
      <c r="P43" s="130"/>
      <c r="R43" s="120"/>
      <c r="S43" s="125" t="s">
        <v>9</v>
      </c>
      <c r="T43" s="125"/>
      <c r="U43" s="126">
        <f t="shared" si="14"/>
        <v>384</v>
      </c>
      <c r="V43" s="127"/>
      <c r="W43" s="130">
        <f t="shared" si="15"/>
        <v>384</v>
      </c>
      <c r="X43" s="130"/>
      <c r="Y43" s="12"/>
      <c r="Z43" s="120"/>
      <c r="AA43" s="125" t="s">
        <v>9</v>
      </c>
      <c r="AB43" s="125"/>
      <c r="AC43" s="130">
        <f t="shared" si="16"/>
        <v>32</v>
      </c>
      <c r="AD43" s="130"/>
    </row>
    <row r="44" spans="1:31">
      <c r="A44" s="120"/>
      <c r="B44" s="125" t="s">
        <v>11</v>
      </c>
      <c r="C44" s="125"/>
      <c r="D44" s="1">
        <v>4</v>
      </c>
      <c r="E44" s="128">
        <v>1500</v>
      </c>
      <c r="F44" s="128"/>
      <c r="G44" s="137">
        <v>0.25</v>
      </c>
      <c r="H44" s="137"/>
      <c r="I44" s="126">
        <f t="shared" si="11"/>
        <v>1500</v>
      </c>
      <c r="J44" s="127"/>
      <c r="K44" s="130">
        <f t="shared" si="12"/>
        <v>1500</v>
      </c>
      <c r="L44" s="130"/>
      <c r="M44" s="32"/>
      <c r="N44" s="120"/>
      <c r="O44" s="130">
        <f t="shared" si="13"/>
        <v>125</v>
      </c>
      <c r="P44" s="130"/>
      <c r="R44" s="120"/>
      <c r="S44" s="125" t="s">
        <v>11</v>
      </c>
      <c r="T44" s="125"/>
      <c r="U44" s="126">
        <f t="shared" si="14"/>
        <v>1500</v>
      </c>
      <c r="V44" s="127"/>
      <c r="W44" s="130">
        <f t="shared" si="15"/>
        <v>1500</v>
      </c>
      <c r="X44" s="130"/>
      <c r="Y44" s="12"/>
      <c r="Z44" s="120"/>
      <c r="AA44" s="125" t="s">
        <v>11</v>
      </c>
      <c r="AB44" s="125"/>
      <c r="AC44" s="130">
        <f t="shared" si="16"/>
        <v>125</v>
      </c>
      <c r="AD44" s="130"/>
    </row>
    <row r="45" spans="1:31">
      <c r="A45" s="120"/>
      <c r="B45" s="125" t="s">
        <v>15</v>
      </c>
      <c r="C45" s="125"/>
      <c r="D45" s="1">
        <v>25</v>
      </c>
      <c r="E45" s="128">
        <v>50</v>
      </c>
      <c r="F45" s="128"/>
      <c r="G45" s="137">
        <f>G5</f>
        <v>12</v>
      </c>
      <c r="H45" s="137"/>
      <c r="I45" s="126">
        <f t="shared" si="11"/>
        <v>15000</v>
      </c>
      <c r="J45" s="127"/>
      <c r="K45" s="130">
        <f t="shared" si="12"/>
        <v>15000</v>
      </c>
      <c r="L45" s="130"/>
      <c r="M45" s="32"/>
      <c r="N45" s="120"/>
      <c r="O45" s="130">
        <f t="shared" si="13"/>
        <v>1250</v>
      </c>
      <c r="P45" s="130"/>
      <c r="R45" s="120"/>
      <c r="S45" s="125" t="s">
        <v>15</v>
      </c>
      <c r="T45" s="125"/>
      <c r="U45" s="126">
        <f t="shared" si="14"/>
        <v>15000</v>
      </c>
      <c r="V45" s="127"/>
      <c r="W45" s="130">
        <f t="shared" si="15"/>
        <v>15000</v>
      </c>
      <c r="X45" s="130"/>
      <c r="Y45" s="12"/>
      <c r="Z45" s="120"/>
      <c r="AA45" s="125" t="s">
        <v>15</v>
      </c>
      <c r="AB45" s="125"/>
      <c r="AC45" s="130">
        <f t="shared" si="16"/>
        <v>1250</v>
      </c>
      <c r="AD45" s="130"/>
    </row>
    <row r="46" spans="1:31">
      <c r="A46" s="120"/>
      <c r="B46" s="125" t="s">
        <v>16</v>
      </c>
      <c r="C46" s="125"/>
      <c r="D46" s="3">
        <v>8</v>
      </c>
      <c r="E46" s="128">
        <v>21</v>
      </c>
      <c r="F46" s="128"/>
      <c r="G46" s="137">
        <v>8</v>
      </c>
      <c r="H46" s="137"/>
      <c r="I46" s="130">
        <f t="shared" si="11"/>
        <v>1344</v>
      </c>
      <c r="J46" s="130"/>
      <c r="K46" s="130">
        <f t="shared" si="12"/>
        <v>1344</v>
      </c>
      <c r="L46" s="130"/>
      <c r="M46" s="32"/>
      <c r="N46" s="120"/>
      <c r="O46" s="130">
        <f t="shared" si="13"/>
        <v>112</v>
      </c>
      <c r="P46" s="130"/>
      <c r="R46" s="120"/>
      <c r="S46" s="125" t="s">
        <v>16</v>
      </c>
      <c r="T46" s="125"/>
      <c r="U46" s="126">
        <f t="shared" si="14"/>
        <v>1344</v>
      </c>
      <c r="V46" s="127"/>
      <c r="W46" s="130">
        <f t="shared" si="15"/>
        <v>1344</v>
      </c>
      <c r="X46" s="130"/>
      <c r="Y46" s="12"/>
      <c r="Z46" s="120"/>
      <c r="AA46" s="125" t="s">
        <v>16</v>
      </c>
      <c r="AB46" s="125"/>
      <c r="AC46" s="130">
        <f t="shared" si="16"/>
        <v>112</v>
      </c>
      <c r="AD46" s="130"/>
    </row>
    <row r="47" spans="1:31">
      <c r="E47" s="135" t="s">
        <v>22</v>
      </c>
      <c r="F47" s="136"/>
      <c r="I47" s="124" t="s">
        <v>82</v>
      </c>
      <c r="J47" s="124"/>
      <c r="K47" s="131">
        <f>SUM(K38:L46)</f>
        <v>26628</v>
      </c>
      <c r="L47" s="124"/>
      <c r="M47" s="32"/>
      <c r="N47" s="124" t="s">
        <v>84</v>
      </c>
      <c r="O47" s="124"/>
      <c r="P47" s="7">
        <f>SUM(O38:P46)</f>
        <v>2219</v>
      </c>
      <c r="R47" s="124" t="s">
        <v>301</v>
      </c>
      <c r="S47" s="124"/>
      <c r="T47" s="124"/>
      <c r="U47" s="131">
        <f>SUM(U38:V46)</f>
        <v>26628</v>
      </c>
      <c r="V47" s="124"/>
      <c r="W47" s="131">
        <f>SUM(W38:X46)</f>
        <v>26628</v>
      </c>
      <c r="X47" s="124"/>
      <c r="Y47" s="11"/>
      <c r="Z47" s="120"/>
      <c r="AA47" s="124" t="s">
        <v>322</v>
      </c>
      <c r="AB47" s="124"/>
      <c r="AC47" s="124"/>
      <c r="AD47" s="7">
        <f>SUM(AC38:AD46)</f>
        <v>2219</v>
      </c>
    </row>
    <row r="48" spans="1:31">
      <c r="E48" s="62"/>
      <c r="F48" s="63"/>
      <c r="H48" s="32"/>
      <c r="I48" s="11"/>
      <c r="J48" s="11"/>
      <c r="K48" s="12"/>
      <c r="L48" s="11"/>
      <c r="M48" s="32"/>
      <c r="N48" s="11"/>
      <c r="O48" s="11"/>
      <c r="P48" s="65"/>
      <c r="U48" s="19"/>
      <c r="V48" s="19"/>
      <c r="W48" s="19"/>
      <c r="X48" s="19"/>
      <c r="Y48" s="19"/>
      <c r="Z48" s="19"/>
    </row>
    <row r="49" spans="1:30">
      <c r="B49" s="132" t="s">
        <v>264</v>
      </c>
      <c r="C49" s="133"/>
      <c r="E49" s="62"/>
      <c r="F49" s="63"/>
      <c r="H49" s="32"/>
      <c r="I49" s="11"/>
      <c r="J49" s="11"/>
      <c r="K49" s="12"/>
      <c r="L49" s="11"/>
      <c r="M49" s="32"/>
      <c r="N49" s="11"/>
      <c r="O49" s="11"/>
      <c r="P49" s="65"/>
      <c r="U49" s="19"/>
      <c r="V49" s="19"/>
      <c r="W49" s="19"/>
      <c r="X49" s="19"/>
      <c r="Y49" s="19"/>
      <c r="Z49" s="19"/>
    </row>
    <row r="50" spans="1:30">
      <c r="A50" s="120" t="s">
        <v>264</v>
      </c>
      <c r="B50" s="124" t="s">
        <v>81</v>
      </c>
      <c r="C50" s="124"/>
      <c r="D50" s="61" t="s">
        <v>1</v>
      </c>
      <c r="E50" s="124" t="s">
        <v>3</v>
      </c>
      <c r="F50" s="124"/>
      <c r="G50" s="124" t="s">
        <v>6</v>
      </c>
      <c r="H50" s="124"/>
      <c r="I50" s="124" t="s">
        <v>58</v>
      </c>
      <c r="J50" s="124"/>
      <c r="K50" s="121" t="s">
        <v>59</v>
      </c>
      <c r="L50" s="123"/>
      <c r="M50" s="32"/>
      <c r="N50" s="120" t="s">
        <v>264</v>
      </c>
      <c r="O50" s="124" t="s">
        <v>83</v>
      </c>
      <c r="P50" s="124"/>
      <c r="R50" s="120" t="s">
        <v>264</v>
      </c>
      <c r="S50" s="124" t="s">
        <v>81</v>
      </c>
      <c r="T50" s="124"/>
      <c r="U50" s="124" t="s">
        <v>58</v>
      </c>
      <c r="V50" s="124"/>
      <c r="W50" s="121" t="s">
        <v>59</v>
      </c>
      <c r="X50" s="123"/>
      <c r="Y50" s="11"/>
      <c r="Z50" s="120" t="s">
        <v>264</v>
      </c>
      <c r="AA50" s="124" t="s">
        <v>81</v>
      </c>
      <c r="AB50" s="124"/>
      <c r="AC50" s="124" t="s">
        <v>83</v>
      </c>
      <c r="AD50" s="124"/>
    </row>
    <row r="51" spans="1:30" ht="15" customHeight="1">
      <c r="A51" s="120"/>
      <c r="B51" s="125" t="s">
        <v>2</v>
      </c>
      <c r="C51" s="125"/>
      <c r="D51" s="1">
        <v>1</v>
      </c>
      <c r="E51" s="128">
        <v>120</v>
      </c>
      <c r="F51" s="128"/>
      <c r="G51" s="129">
        <f>$G$6</f>
        <v>5</v>
      </c>
      <c r="H51" s="129"/>
      <c r="I51" s="126">
        <f>D51*E51*G51</f>
        <v>600</v>
      </c>
      <c r="J51" s="127"/>
      <c r="K51" s="130">
        <f>I51</f>
        <v>600</v>
      </c>
      <c r="L51" s="130"/>
      <c r="M51" s="32"/>
      <c r="N51" s="120"/>
      <c r="O51" s="130">
        <f>I51/$G$6</f>
        <v>120</v>
      </c>
      <c r="P51" s="130"/>
      <c r="R51" s="120"/>
      <c r="S51" s="125" t="s">
        <v>2</v>
      </c>
      <c r="T51" s="125"/>
      <c r="U51" s="126">
        <f>I51</f>
        <v>600</v>
      </c>
      <c r="V51" s="127"/>
      <c r="W51" s="130">
        <f>K51</f>
        <v>600</v>
      </c>
      <c r="X51" s="130"/>
      <c r="Y51" s="12"/>
      <c r="Z51" s="120"/>
      <c r="AA51" s="125" t="s">
        <v>2</v>
      </c>
      <c r="AB51" s="125"/>
      <c r="AC51" s="130">
        <f>O51</f>
        <v>120</v>
      </c>
      <c r="AD51" s="130"/>
    </row>
    <row r="52" spans="1:30">
      <c r="A52" s="120"/>
      <c r="B52" s="125" t="s">
        <v>7</v>
      </c>
      <c r="C52" s="125"/>
      <c r="D52" s="1">
        <v>9</v>
      </c>
      <c r="E52" s="128">
        <v>40</v>
      </c>
      <c r="F52" s="128"/>
      <c r="G52" s="129">
        <f t="shared" ref="G52:G54" si="17">$G$6</f>
        <v>5</v>
      </c>
      <c r="H52" s="129"/>
      <c r="I52" s="126">
        <f t="shared" ref="I52:I59" si="18">D52*E52*G52</f>
        <v>1800</v>
      </c>
      <c r="J52" s="127"/>
      <c r="K52" s="130">
        <f t="shared" ref="K52:K59" si="19">I52</f>
        <v>1800</v>
      </c>
      <c r="L52" s="130"/>
      <c r="M52" s="32"/>
      <c r="N52" s="120"/>
      <c r="O52" s="130">
        <f t="shared" ref="O52:O59" si="20">I52/$G$6</f>
        <v>360</v>
      </c>
      <c r="P52" s="130"/>
      <c r="R52" s="120"/>
      <c r="S52" s="125" t="s">
        <v>7</v>
      </c>
      <c r="T52" s="125"/>
      <c r="U52" s="126">
        <f t="shared" ref="U52:U59" si="21">I52</f>
        <v>1800</v>
      </c>
      <c r="V52" s="127"/>
      <c r="W52" s="130">
        <f t="shared" ref="W52:W59" si="22">K52</f>
        <v>1800</v>
      </c>
      <c r="X52" s="130"/>
      <c r="Y52" s="12"/>
      <c r="Z52" s="120"/>
      <c r="AA52" s="125" t="s">
        <v>7</v>
      </c>
      <c r="AB52" s="125"/>
      <c r="AC52" s="130">
        <f t="shared" ref="AC52:AC59" si="23">O52</f>
        <v>360</v>
      </c>
      <c r="AD52" s="130"/>
    </row>
    <row r="53" spans="1:30">
      <c r="A53" s="120"/>
      <c r="B53" s="125" t="s">
        <v>5</v>
      </c>
      <c r="C53" s="125"/>
      <c r="D53" s="1">
        <v>1</v>
      </c>
      <c r="E53" s="128">
        <v>200</v>
      </c>
      <c r="F53" s="128"/>
      <c r="G53" s="129">
        <f t="shared" si="17"/>
        <v>5</v>
      </c>
      <c r="H53" s="129"/>
      <c r="I53" s="126">
        <f t="shared" si="18"/>
        <v>1000</v>
      </c>
      <c r="J53" s="127"/>
      <c r="K53" s="130">
        <f t="shared" si="19"/>
        <v>1000</v>
      </c>
      <c r="L53" s="130"/>
      <c r="M53" s="32"/>
      <c r="N53" s="120"/>
      <c r="O53" s="130">
        <f t="shared" si="20"/>
        <v>200</v>
      </c>
      <c r="P53" s="130"/>
      <c r="R53" s="120"/>
      <c r="S53" s="125" t="s">
        <v>5</v>
      </c>
      <c r="T53" s="125"/>
      <c r="U53" s="126">
        <f t="shared" si="21"/>
        <v>1000</v>
      </c>
      <c r="V53" s="127"/>
      <c r="W53" s="130">
        <f t="shared" si="22"/>
        <v>1000</v>
      </c>
      <c r="X53" s="130"/>
      <c r="Y53" s="12"/>
      <c r="Z53" s="120"/>
      <c r="AA53" s="125" t="s">
        <v>5</v>
      </c>
      <c r="AB53" s="125"/>
      <c r="AC53" s="130">
        <f t="shared" si="23"/>
        <v>200</v>
      </c>
      <c r="AD53" s="130"/>
    </row>
    <row r="54" spans="1:30">
      <c r="A54" s="120"/>
      <c r="B54" s="125" t="s">
        <v>8</v>
      </c>
      <c r="C54" s="125"/>
      <c r="D54" s="1">
        <v>3</v>
      </c>
      <c r="E54" s="128">
        <v>6</v>
      </c>
      <c r="F54" s="128"/>
      <c r="G54" s="129">
        <f t="shared" si="17"/>
        <v>5</v>
      </c>
      <c r="H54" s="129"/>
      <c r="I54" s="126">
        <f t="shared" si="18"/>
        <v>90</v>
      </c>
      <c r="J54" s="127"/>
      <c r="K54" s="130">
        <f t="shared" si="19"/>
        <v>90</v>
      </c>
      <c r="L54" s="130"/>
      <c r="M54" s="32"/>
      <c r="N54" s="120"/>
      <c r="O54" s="130">
        <f t="shared" si="20"/>
        <v>18</v>
      </c>
      <c r="P54" s="130"/>
      <c r="R54" s="120"/>
      <c r="S54" s="125" t="s">
        <v>8</v>
      </c>
      <c r="T54" s="125"/>
      <c r="U54" s="126">
        <f t="shared" si="21"/>
        <v>90</v>
      </c>
      <c r="V54" s="127"/>
      <c r="W54" s="130">
        <f t="shared" si="22"/>
        <v>90</v>
      </c>
      <c r="X54" s="130"/>
      <c r="Y54" s="12"/>
      <c r="Z54" s="120"/>
      <c r="AA54" s="125" t="s">
        <v>8</v>
      </c>
      <c r="AB54" s="125"/>
      <c r="AC54" s="130">
        <f>O54</f>
        <v>18</v>
      </c>
      <c r="AD54" s="130"/>
    </row>
    <row r="55" spans="1:30">
      <c r="A55" s="120"/>
      <c r="B55" s="125" t="s">
        <v>10</v>
      </c>
      <c r="C55" s="125"/>
      <c r="D55" s="1">
        <v>3</v>
      </c>
      <c r="E55" s="128">
        <v>8</v>
      </c>
      <c r="F55" s="128"/>
      <c r="G55" s="129">
        <v>0.5</v>
      </c>
      <c r="H55" s="129"/>
      <c r="I55" s="126">
        <f t="shared" si="18"/>
        <v>12</v>
      </c>
      <c r="J55" s="127"/>
      <c r="K55" s="130">
        <f t="shared" si="19"/>
        <v>12</v>
      </c>
      <c r="L55" s="130"/>
      <c r="M55" s="32"/>
      <c r="N55" s="120"/>
      <c r="O55" s="130">
        <f t="shared" si="20"/>
        <v>2.4</v>
      </c>
      <c r="P55" s="130"/>
      <c r="R55" s="120"/>
      <c r="S55" s="125" t="s">
        <v>10</v>
      </c>
      <c r="T55" s="125"/>
      <c r="U55" s="126">
        <f t="shared" si="21"/>
        <v>12</v>
      </c>
      <c r="V55" s="127"/>
      <c r="W55" s="130">
        <f t="shared" si="22"/>
        <v>12</v>
      </c>
      <c r="X55" s="130"/>
      <c r="Y55" s="12"/>
      <c r="Z55" s="120"/>
      <c r="AA55" s="125" t="s">
        <v>10</v>
      </c>
      <c r="AB55" s="125"/>
      <c r="AC55" s="130">
        <f t="shared" si="23"/>
        <v>2.4</v>
      </c>
      <c r="AD55" s="130"/>
    </row>
    <row r="56" spans="1:30">
      <c r="A56" s="120"/>
      <c r="B56" s="125" t="s">
        <v>9</v>
      </c>
      <c r="C56" s="125"/>
      <c r="D56" s="1">
        <v>4</v>
      </c>
      <c r="E56" s="128">
        <v>8</v>
      </c>
      <c r="F56" s="128"/>
      <c r="G56" s="129">
        <f>G6</f>
        <v>5</v>
      </c>
      <c r="H56" s="129"/>
      <c r="I56" s="126">
        <f t="shared" si="18"/>
        <v>160</v>
      </c>
      <c r="J56" s="127"/>
      <c r="K56" s="130">
        <f t="shared" si="19"/>
        <v>160</v>
      </c>
      <c r="L56" s="130"/>
      <c r="M56" s="32"/>
      <c r="N56" s="120"/>
      <c r="O56" s="130">
        <f t="shared" si="20"/>
        <v>32</v>
      </c>
      <c r="P56" s="130"/>
      <c r="R56" s="120"/>
      <c r="S56" s="125" t="s">
        <v>9</v>
      </c>
      <c r="T56" s="125"/>
      <c r="U56" s="126">
        <f t="shared" si="21"/>
        <v>160</v>
      </c>
      <c r="V56" s="127"/>
      <c r="W56" s="130">
        <f t="shared" si="22"/>
        <v>160</v>
      </c>
      <c r="X56" s="130"/>
      <c r="Y56" s="12"/>
      <c r="Z56" s="120"/>
      <c r="AA56" s="125" t="s">
        <v>9</v>
      </c>
      <c r="AB56" s="125"/>
      <c r="AC56" s="130">
        <f t="shared" si="23"/>
        <v>32</v>
      </c>
      <c r="AD56" s="130"/>
    </row>
    <row r="57" spans="1:30">
      <c r="A57" s="120"/>
      <c r="B57" s="125" t="s">
        <v>11</v>
      </c>
      <c r="C57" s="125"/>
      <c r="D57" s="1">
        <v>4</v>
      </c>
      <c r="E57" s="128">
        <v>1500</v>
      </c>
      <c r="F57" s="128"/>
      <c r="G57" s="129">
        <v>0.25</v>
      </c>
      <c r="H57" s="129"/>
      <c r="I57" s="126">
        <f t="shared" si="18"/>
        <v>1500</v>
      </c>
      <c r="J57" s="127"/>
      <c r="K57" s="130">
        <f t="shared" si="19"/>
        <v>1500</v>
      </c>
      <c r="L57" s="130"/>
      <c r="M57" s="32"/>
      <c r="N57" s="120"/>
      <c r="O57" s="130">
        <f>I57/$G$6</f>
        <v>300</v>
      </c>
      <c r="P57" s="130"/>
      <c r="R57" s="120"/>
      <c r="S57" s="125" t="s">
        <v>11</v>
      </c>
      <c r="T57" s="125"/>
      <c r="U57" s="126">
        <f t="shared" si="21"/>
        <v>1500</v>
      </c>
      <c r="V57" s="127"/>
      <c r="W57" s="130">
        <f t="shared" si="22"/>
        <v>1500</v>
      </c>
      <c r="X57" s="130"/>
      <c r="Y57" s="12"/>
      <c r="Z57" s="120"/>
      <c r="AA57" s="125" t="s">
        <v>11</v>
      </c>
      <c r="AB57" s="125"/>
      <c r="AC57" s="130">
        <f t="shared" si="23"/>
        <v>300</v>
      </c>
      <c r="AD57" s="130"/>
    </row>
    <row r="58" spans="1:30">
      <c r="A58" s="120"/>
      <c r="B58" s="125" t="s">
        <v>15</v>
      </c>
      <c r="C58" s="125"/>
      <c r="D58" s="1">
        <v>25</v>
      </c>
      <c r="E58" s="128">
        <v>50</v>
      </c>
      <c r="F58" s="128"/>
      <c r="G58" s="129">
        <f>G6</f>
        <v>5</v>
      </c>
      <c r="H58" s="129"/>
      <c r="I58" s="126">
        <f t="shared" si="18"/>
        <v>6250</v>
      </c>
      <c r="J58" s="127"/>
      <c r="K58" s="130">
        <f t="shared" si="19"/>
        <v>6250</v>
      </c>
      <c r="L58" s="130"/>
      <c r="M58" s="32"/>
      <c r="N58" s="120"/>
      <c r="O58" s="130">
        <f t="shared" si="20"/>
        <v>1250</v>
      </c>
      <c r="P58" s="130"/>
      <c r="R58" s="120"/>
      <c r="S58" s="125" t="s">
        <v>15</v>
      </c>
      <c r="T58" s="125"/>
      <c r="U58" s="126">
        <f t="shared" si="21"/>
        <v>6250</v>
      </c>
      <c r="V58" s="127"/>
      <c r="W58" s="130">
        <f t="shared" si="22"/>
        <v>6250</v>
      </c>
      <c r="X58" s="130"/>
      <c r="Y58" s="12"/>
      <c r="Z58" s="120"/>
      <c r="AA58" s="125" t="s">
        <v>15</v>
      </c>
      <c r="AB58" s="125"/>
      <c r="AC58" s="130">
        <f t="shared" si="23"/>
        <v>1250</v>
      </c>
      <c r="AD58" s="130"/>
    </row>
    <row r="59" spans="1:30">
      <c r="A59" s="120"/>
      <c r="B59" s="125" t="s">
        <v>16</v>
      </c>
      <c r="C59" s="125"/>
      <c r="D59" s="3">
        <v>8</v>
      </c>
      <c r="E59" s="128">
        <v>21</v>
      </c>
      <c r="F59" s="128"/>
      <c r="G59" s="129">
        <f>G6/2</f>
        <v>2.5</v>
      </c>
      <c r="H59" s="129"/>
      <c r="I59" s="130">
        <f t="shared" si="18"/>
        <v>420</v>
      </c>
      <c r="J59" s="130"/>
      <c r="K59" s="130">
        <f t="shared" si="19"/>
        <v>420</v>
      </c>
      <c r="L59" s="130"/>
      <c r="M59" s="32"/>
      <c r="N59" s="120"/>
      <c r="O59" s="130">
        <f t="shared" si="20"/>
        <v>84</v>
      </c>
      <c r="P59" s="130"/>
      <c r="R59" s="120"/>
      <c r="S59" s="125" t="s">
        <v>16</v>
      </c>
      <c r="T59" s="125"/>
      <c r="U59" s="126">
        <f t="shared" si="21"/>
        <v>420</v>
      </c>
      <c r="V59" s="127"/>
      <c r="W59" s="130">
        <f t="shared" si="22"/>
        <v>420</v>
      </c>
      <c r="X59" s="130"/>
      <c r="Y59" s="12"/>
      <c r="Z59" s="120"/>
      <c r="AA59" s="125" t="s">
        <v>16</v>
      </c>
      <c r="AB59" s="125"/>
      <c r="AC59" s="130">
        <f t="shared" si="23"/>
        <v>84</v>
      </c>
      <c r="AD59" s="130"/>
    </row>
    <row r="60" spans="1:30">
      <c r="E60" s="135" t="s">
        <v>22</v>
      </c>
      <c r="F60" s="136"/>
      <c r="I60" s="124" t="s">
        <v>82</v>
      </c>
      <c r="J60" s="124"/>
      <c r="K60" s="131">
        <f>SUM(K51:L59)</f>
        <v>11832</v>
      </c>
      <c r="L60" s="124"/>
      <c r="M60" s="32"/>
      <c r="N60" s="124" t="s">
        <v>84</v>
      </c>
      <c r="O60" s="124"/>
      <c r="P60" s="7">
        <f>SUM(O51:P59)</f>
        <v>2366.4</v>
      </c>
      <c r="R60" s="124" t="s">
        <v>302</v>
      </c>
      <c r="S60" s="124"/>
      <c r="T60" s="124"/>
      <c r="U60" s="131">
        <f>SUM(U51:V59)</f>
        <v>11832</v>
      </c>
      <c r="V60" s="124"/>
      <c r="W60" s="131">
        <f>SUM(W51:X59)</f>
        <v>11832</v>
      </c>
      <c r="X60" s="124"/>
      <c r="Y60" s="11"/>
      <c r="Z60" s="120"/>
      <c r="AA60" s="124" t="s">
        <v>322</v>
      </c>
      <c r="AB60" s="124"/>
      <c r="AC60" s="124"/>
      <c r="AD60" s="7">
        <f>SUM(AC51:AD59)</f>
        <v>2366.4</v>
      </c>
    </row>
    <row r="61" spans="1:30">
      <c r="E61" s="62"/>
      <c r="F61" s="63"/>
      <c r="H61" s="32"/>
      <c r="I61" s="11"/>
      <c r="J61" s="11"/>
      <c r="K61" s="12"/>
      <c r="L61" s="11"/>
      <c r="M61" s="32"/>
      <c r="N61" s="11"/>
      <c r="O61" s="11"/>
      <c r="P61" s="66"/>
      <c r="U61" s="19"/>
      <c r="V61" s="19"/>
      <c r="W61" s="19"/>
      <c r="X61" s="19"/>
      <c r="Y61" s="19"/>
    </row>
    <row r="62" spans="1:30">
      <c r="E62" s="62"/>
      <c r="F62" s="63"/>
      <c r="H62" s="32"/>
      <c r="I62" s="11"/>
      <c r="J62" s="11"/>
      <c r="K62" s="12"/>
      <c r="L62" s="11"/>
      <c r="M62" s="32"/>
      <c r="N62" s="11"/>
      <c r="O62" s="11"/>
      <c r="P62" s="66"/>
      <c r="U62" s="19"/>
      <c r="V62" s="19"/>
      <c r="W62" s="19"/>
      <c r="X62" s="19"/>
      <c r="Y62" s="19"/>
    </row>
    <row r="63" spans="1:30">
      <c r="E63" s="62"/>
      <c r="F63" s="63"/>
      <c r="H63" s="32"/>
      <c r="I63" s="12"/>
      <c r="J63" s="11"/>
      <c r="K63" s="12"/>
      <c r="L63" s="11"/>
      <c r="M63" s="32"/>
      <c r="N63" s="11"/>
      <c r="O63" s="11"/>
      <c r="P63" s="66"/>
      <c r="U63" s="19"/>
      <c r="V63" s="19"/>
      <c r="W63" s="19"/>
      <c r="X63" s="19"/>
      <c r="Y63" s="19"/>
    </row>
    <row r="64" spans="1:30">
      <c r="E64" s="62"/>
      <c r="F64" s="63"/>
      <c r="H64" s="32"/>
      <c r="I64" s="11"/>
      <c r="J64" s="11"/>
      <c r="K64" s="12"/>
      <c r="L64" s="11"/>
      <c r="M64" s="32"/>
      <c r="N64" s="11"/>
      <c r="O64" s="11"/>
      <c r="P64" s="66"/>
      <c r="U64" s="19"/>
      <c r="V64" s="19"/>
      <c r="W64" s="19"/>
      <c r="X64" s="19"/>
      <c r="Y64" s="19"/>
    </row>
    <row r="65" spans="1:32">
      <c r="U65" s="32"/>
    </row>
    <row r="66" spans="1:32">
      <c r="U66" s="32"/>
      <c r="V66" s="40" t="s">
        <v>131</v>
      </c>
      <c r="W66" s="41">
        <f>AD66</f>
        <v>0.14000000000000001</v>
      </c>
      <c r="AC66" s="20" t="s">
        <v>132</v>
      </c>
      <c r="AD66" s="21">
        <v>0.14000000000000001</v>
      </c>
      <c r="AE66" s="19"/>
      <c r="AF66" s="19"/>
    </row>
    <row r="67" spans="1:32">
      <c r="K67" s="142" t="s">
        <v>56</v>
      </c>
      <c r="L67" s="142"/>
      <c r="O67" s="138" t="s">
        <v>303</v>
      </c>
      <c r="P67" s="138"/>
      <c r="Q67" s="138"/>
      <c r="U67" s="32"/>
      <c r="V67" s="158" t="s">
        <v>128</v>
      </c>
      <c r="W67" s="158"/>
      <c r="X67" s="158" t="s">
        <v>129</v>
      </c>
      <c r="Y67" s="158"/>
      <c r="Z67" s="158" t="s">
        <v>130</v>
      </c>
      <c r="AA67" s="158"/>
      <c r="AC67" s="153" t="s">
        <v>270</v>
      </c>
      <c r="AD67" s="153"/>
      <c r="AE67" s="24">
        <f>(N68*AD66)*10^-3</f>
        <v>30.590000000000003</v>
      </c>
      <c r="AF67" s="39" t="s">
        <v>90</v>
      </c>
    </row>
    <row r="68" spans="1:32">
      <c r="K68" s="139" t="s">
        <v>183</v>
      </c>
      <c r="L68" s="140"/>
      <c r="M68" s="141"/>
      <c r="N68" s="14">
        <f>H89*5+H105+H115</f>
        <v>218500</v>
      </c>
      <c r="O68" s="130">
        <f>N68-N69</f>
        <v>2275</v>
      </c>
      <c r="P68" s="128"/>
      <c r="Q68" s="128"/>
      <c r="U68" s="32"/>
      <c r="V68" s="137">
        <f>X68/7</f>
        <v>30.889285714285712</v>
      </c>
      <c r="W68" s="137"/>
      <c r="X68" s="137">
        <f>N69*10^-3</f>
        <v>216.22499999999999</v>
      </c>
      <c r="Y68" s="137"/>
      <c r="Z68" s="137">
        <f>V68*365</f>
        <v>11274.589285714284</v>
      </c>
      <c r="AA68" s="137"/>
      <c r="AC68" s="154" t="s">
        <v>271</v>
      </c>
      <c r="AD68" s="154"/>
      <c r="AE68" s="25">
        <f>(N69*AD66)*10^-3</f>
        <v>30.271500000000003</v>
      </c>
      <c r="AF68" s="39" t="s">
        <v>90</v>
      </c>
    </row>
    <row r="69" spans="1:32">
      <c r="K69" s="121" t="s">
        <v>184</v>
      </c>
      <c r="L69" s="122"/>
      <c r="M69" s="123"/>
      <c r="N69" s="7">
        <f>K34+K47+K60</f>
        <v>216225</v>
      </c>
      <c r="O69" s="15"/>
      <c r="P69" s="15"/>
      <c r="Q69" s="15"/>
      <c r="U69" s="32"/>
      <c r="V69" s="159" t="s">
        <v>125</v>
      </c>
      <c r="W69" s="159"/>
      <c r="X69" s="159" t="s">
        <v>126</v>
      </c>
      <c r="Y69" s="159"/>
      <c r="Z69" s="159" t="s">
        <v>127</v>
      </c>
      <c r="AA69" s="159"/>
      <c r="AC69" s="155" t="s">
        <v>311</v>
      </c>
      <c r="AD69" s="155"/>
      <c r="AE69" s="25">
        <f>AE67-AE68</f>
        <v>0.31850000000000023</v>
      </c>
      <c r="AF69" s="39" t="s">
        <v>90</v>
      </c>
    </row>
    <row r="70" spans="1:32">
      <c r="B70" s="142" t="s">
        <v>25</v>
      </c>
      <c r="C70" s="142"/>
      <c r="U70" s="32"/>
      <c r="V70" s="137">
        <f>V68*W66</f>
        <v>4.3245000000000005</v>
      </c>
      <c r="W70" s="137"/>
      <c r="X70" s="137">
        <f>X68*W66</f>
        <v>30.271500000000003</v>
      </c>
      <c r="Y70" s="137"/>
      <c r="Z70" s="137">
        <f>Z68*W66</f>
        <v>1578.4424999999999</v>
      </c>
      <c r="AA70" s="137"/>
      <c r="AC70" s="22"/>
      <c r="AD70" s="22"/>
      <c r="AE70" s="22"/>
      <c r="AF70" s="22"/>
    </row>
    <row r="71" spans="1:32">
      <c r="A71" s="1" t="s">
        <v>80</v>
      </c>
      <c r="B71" s="138" t="s">
        <v>53</v>
      </c>
      <c r="C71" s="138"/>
      <c r="D71" s="138" t="s">
        <v>44</v>
      </c>
      <c r="E71" s="138"/>
      <c r="F71" s="139" t="s">
        <v>27</v>
      </c>
      <c r="G71" s="141"/>
      <c r="H71" s="138" t="s">
        <v>319</v>
      </c>
      <c r="I71" s="138"/>
      <c r="K71" s="13" t="s">
        <v>85</v>
      </c>
      <c r="U71" s="32"/>
      <c r="V71" s="94"/>
      <c r="W71" s="94"/>
      <c r="X71" s="94"/>
      <c r="Y71" s="94"/>
      <c r="Z71" s="94"/>
      <c r="AA71" s="94"/>
      <c r="AC71" s="156" t="s">
        <v>310</v>
      </c>
      <c r="AD71" s="156"/>
      <c r="AE71" s="23">
        <f>AE69/7*365</f>
        <v>16.607500000000012</v>
      </c>
      <c r="AF71" s="39" t="s">
        <v>92</v>
      </c>
    </row>
    <row r="72" spans="1:32">
      <c r="A72">
        <v>0.1</v>
      </c>
      <c r="B72" s="147" t="s">
        <v>26</v>
      </c>
      <c r="C72" s="147"/>
      <c r="D72" s="137">
        <f>A72/0.03</f>
        <v>3.3333333333333335</v>
      </c>
      <c r="E72" s="137"/>
      <c r="F72" s="143">
        <f>($K$3*D72)/100</f>
        <v>1.666666666666667</v>
      </c>
      <c r="G72" s="144"/>
      <c r="H72" s="145">
        <f>$K$4*F72</f>
        <v>250.00000000000006</v>
      </c>
      <c r="I72" s="146"/>
      <c r="J72" s="7">
        <f>($P$34*5+$P$47+$P$60)/7</f>
        <v>2267.4380952380952</v>
      </c>
      <c r="K72" s="7">
        <f>H72-J72</f>
        <v>-2017.4380952380952</v>
      </c>
      <c r="U72" s="32"/>
      <c r="V72" s="95" t="s">
        <v>131</v>
      </c>
      <c r="W72" s="96">
        <f>AD66</f>
        <v>0.14000000000000001</v>
      </c>
      <c r="X72" s="94"/>
      <c r="Y72" s="94"/>
      <c r="Z72" s="94"/>
      <c r="AA72" s="94"/>
    </row>
    <row r="73" spans="1:32">
      <c r="A73">
        <v>0.3</v>
      </c>
      <c r="B73" s="147" t="s">
        <v>28</v>
      </c>
      <c r="C73" s="147"/>
      <c r="D73" s="137">
        <f t="shared" ref="D73:D88" si="24">A73/0.03</f>
        <v>10</v>
      </c>
      <c r="E73" s="137"/>
      <c r="F73" s="143">
        <f t="shared" ref="F73:F80" si="25">($K$3*D73)/100</f>
        <v>5</v>
      </c>
      <c r="G73" s="144"/>
      <c r="H73" s="145">
        <f t="shared" ref="H73:H88" si="26">$K$4*F73</f>
        <v>750</v>
      </c>
      <c r="I73" s="146"/>
      <c r="J73" s="7">
        <f t="shared" ref="J73:J88" si="27">($P$34*5+$P$47+$P$60)/7</f>
        <v>2267.4380952380952</v>
      </c>
      <c r="K73" s="7">
        <f t="shared" ref="K73:K88" si="28">H73-J73</f>
        <v>-1517.4380952380952</v>
      </c>
      <c r="U73" s="32"/>
      <c r="V73" s="160" t="s">
        <v>133</v>
      </c>
      <c r="W73" s="160"/>
      <c r="X73" s="160" t="s">
        <v>134</v>
      </c>
      <c r="Y73" s="160"/>
      <c r="Z73" s="160" t="s">
        <v>135</v>
      </c>
      <c r="AA73" s="160"/>
    </row>
    <row r="74" spans="1:32">
      <c r="A74">
        <v>0.9</v>
      </c>
      <c r="B74" s="147" t="s">
        <v>29</v>
      </c>
      <c r="C74" s="147"/>
      <c r="D74" s="137">
        <f t="shared" si="24"/>
        <v>30.000000000000004</v>
      </c>
      <c r="E74" s="137"/>
      <c r="F74" s="143">
        <f t="shared" si="25"/>
        <v>15.000000000000002</v>
      </c>
      <c r="G74" s="144"/>
      <c r="H74" s="145">
        <f t="shared" si="26"/>
        <v>2250.0000000000005</v>
      </c>
      <c r="I74" s="146"/>
      <c r="J74" s="7">
        <f t="shared" si="27"/>
        <v>2267.4380952380952</v>
      </c>
      <c r="K74" s="7">
        <f t="shared" si="28"/>
        <v>-17.438095238094775</v>
      </c>
      <c r="U74" s="32"/>
      <c r="V74" s="137">
        <f>X74/7</f>
        <v>31.214285714285715</v>
      </c>
      <c r="W74" s="137"/>
      <c r="X74" s="137">
        <f>N68*10^-3</f>
        <v>218.5</v>
      </c>
      <c r="Y74" s="137"/>
      <c r="Z74" s="137">
        <f>V74*365</f>
        <v>11393.214285714286</v>
      </c>
      <c r="AA74" s="137"/>
    </row>
    <row r="75" spans="1:32">
      <c r="A75">
        <v>1</v>
      </c>
      <c r="B75" s="147" t="s">
        <v>30</v>
      </c>
      <c r="C75" s="147"/>
      <c r="D75" s="137">
        <f t="shared" si="24"/>
        <v>33.333333333333336</v>
      </c>
      <c r="E75" s="137"/>
      <c r="F75" s="143">
        <f t="shared" si="25"/>
        <v>16.666666666666668</v>
      </c>
      <c r="G75" s="144"/>
      <c r="H75" s="145">
        <f t="shared" si="26"/>
        <v>2500</v>
      </c>
      <c r="I75" s="146"/>
      <c r="J75" s="7">
        <f t="shared" si="27"/>
        <v>2267.4380952380952</v>
      </c>
      <c r="K75" s="7">
        <f t="shared" si="28"/>
        <v>232.56190476190477</v>
      </c>
      <c r="U75" s="32"/>
      <c r="V75" s="160" t="s">
        <v>136</v>
      </c>
      <c r="W75" s="160"/>
      <c r="X75" s="160" t="s">
        <v>137</v>
      </c>
      <c r="Y75" s="160"/>
      <c r="Z75" s="160" t="s">
        <v>138</v>
      </c>
      <c r="AA75" s="160"/>
    </row>
    <row r="76" spans="1:32">
      <c r="A76">
        <v>1</v>
      </c>
      <c r="B76" s="148" t="s">
        <v>31</v>
      </c>
      <c r="C76" s="147"/>
      <c r="D76" s="137">
        <f t="shared" si="24"/>
        <v>33.333333333333336</v>
      </c>
      <c r="E76" s="137"/>
      <c r="F76" s="143">
        <f t="shared" si="25"/>
        <v>16.666666666666668</v>
      </c>
      <c r="G76" s="144"/>
      <c r="H76" s="145">
        <f t="shared" si="26"/>
        <v>2500</v>
      </c>
      <c r="I76" s="146"/>
      <c r="J76" s="7">
        <f t="shared" si="27"/>
        <v>2267.4380952380952</v>
      </c>
      <c r="K76" s="7">
        <f t="shared" si="28"/>
        <v>232.56190476190477</v>
      </c>
      <c r="U76" s="32"/>
      <c r="V76" s="137">
        <f>V74*W72</f>
        <v>4.370000000000001</v>
      </c>
      <c r="W76" s="137"/>
      <c r="X76" s="137">
        <f>V76*7</f>
        <v>30.590000000000007</v>
      </c>
      <c r="Y76" s="137"/>
      <c r="Z76" s="137">
        <f>V76*365</f>
        <v>1595.0500000000004</v>
      </c>
      <c r="AA76" s="137"/>
    </row>
    <row r="77" spans="1:32">
      <c r="A77">
        <v>0.9</v>
      </c>
      <c r="B77" s="147" t="s">
        <v>32</v>
      </c>
      <c r="C77" s="147"/>
      <c r="D77" s="137">
        <f t="shared" si="24"/>
        <v>30.000000000000004</v>
      </c>
      <c r="E77" s="137"/>
      <c r="F77" s="143">
        <f t="shared" si="25"/>
        <v>15.000000000000002</v>
      </c>
      <c r="G77" s="144"/>
      <c r="H77" s="145">
        <f t="shared" si="26"/>
        <v>2250.0000000000005</v>
      </c>
      <c r="I77" s="146"/>
      <c r="J77" s="7">
        <f t="shared" si="27"/>
        <v>2267.4380952380952</v>
      </c>
      <c r="K77" s="7">
        <f t="shared" si="28"/>
        <v>-17.438095238094775</v>
      </c>
      <c r="U77" s="32"/>
      <c r="V77" s="94"/>
      <c r="W77" s="94"/>
      <c r="X77" s="94"/>
      <c r="Y77" s="94"/>
      <c r="Z77" s="94"/>
      <c r="AA77" s="94"/>
    </row>
    <row r="78" spans="1:32">
      <c r="A78">
        <v>0.6</v>
      </c>
      <c r="B78" s="147" t="s">
        <v>33</v>
      </c>
      <c r="C78" s="147"/>
      <c r="D78" s="137">
        <f t="shared" si="24"/>
        <v>20</v>
      </c>
      <c r="E78" s="137"/>
      <c r="F78" s="143">
        <f t="shared" si="25"/>
        <v>10</v>
      </c>
      <c r="G78" s="144"/>
      <c r="H78" s="145">
        <f t="shared" si="26"/>
        <v>1500</v>
      </c>
      <c r="I78" s="146"/>
      <c r="J78" s="7">
        <f t="shared" si="27"/>
        <v>2267.4380952380952</v>
      </c>
      <c r="K78" s="7">
        <f t="shared" si="28"/>
        <v>-767.43809523809523</v>
      </c>
      <c r="U78" s="32"/>
      <c r="V78" s="95" t="s">
        <v>131</v>
      </c>
      <c r="W78" s="96">
        <f>W72</f>
        <v>0.14000000000000001</v>
      </c>
      <c r="X78" s="94"/>
      <c r="Y78" s="94"/>
      <c r="Z78" s="94"/>
      <c r="AA78" s="94"/>
    </row>
    <row r="79" spans="1:32">
      <c r="A79">
        <v>0.4</v>
      </c>
      <c r="B79" s="147" t="s">
        <v>34</v>
      </c>
      <c r="C79" s="147"/>
      <c r="D79" s="137">
        <f t="shared" si="24"/>
        <v>13.333333333333334</v>
      </c>
      <c r="E79" s="137"/>
      <c r="F79" s="143">
        <f t="shared" si="25"/>
        <v>6.6666666666666679</v>
      </c>
      <c r="G79" s="144"/>
      <c r="H79" s="145">
        <f t="shared" si="26"/>
        <v>1000.0000000000002</v>
      </c>
      <c r="I79" s="146"/>
      <c r="J79" s="7">
        <f t="shared" si="27"/>
        <v>2267.4380952380952</v>
      </c>
      <c r="K79" s="7">
        <f t="shared" si="28"/>
        <v>-1267.438095238095</v>
      </c>
      <c r="U79" s="32"/>
      <c r="V79" s="161" t="s">
        <v>139</v>
      </c>
      <c r="W79" s="161"/>
      <c r="X79" s="161" t="s">
        <v>140</v>
      </c>
      <c r="Y79" s="161"/>
      <c r="Z79" s="161" t="s">
        <v>141</v>
      </c>
      <c r="AA79" s="161"/>
    </row>
    <row r="80" spans="1:32">
      <c r="A80">
        <v>0.3</v>
      </c>
      <c r="B80" s="147" t="s">
        <v>35</v>
      </c>
      <c r="C80" s="147"/>
      <c r="D80" s="137">
        <f t="shared" si="24"/>
        <v>10</v>
      </c>
      <c r="E80" s="137"/>
      <c r="F80" s="143">
        <f t="shared" si="25"/>
        <v>5</v>
      </c>
      <c r="G80" s="144"/>
      <c r="H80" s="145">
        <f t="shared" si="26"/>
        <v>750</v>
      </c>
      <c r="I80" s="146"/>
      <c r="J80" s="7">
        <f t="shared" si="27"/>
        <v>2267.4380952380952</v>
      </c>
      <c r="K80" s="7">
        <f t="shared" si="28"/>
        <v>-1517.4380952380952</v>
      </c>
      <c r="U80" s="32"/>
      <c r="V80" s="137">
        <f>V74-V68</f>
        <v>0.32500000000000284</v>
      </c>
      <c r="W80" s="137"/>
      <c r="X80" s="137">
        <f t="shared" ref="X80" si="29">X74-X68</f>
        <v>2.2750000000000057</v>
      </c>
      <c r="Y80" s="137"/>
      <c r="Z80" s="137">
        <f t="shared" ref="Z80" si="30">Z74-Z68</f>
        <v>118.62500000000182</v>
      </c>
      <c r="AA80" s="137"/>
    </row>
    <row r="81" spans="1:27">
      <c r="A81">
        <v>0.2</v>
      </c>
      <c r="B81" s="147" t="s">
        <v>36</v>
      </c>
      <c r="C81" s="147"/>
      <c r="D81" s="137">
        <f t="shared" si="24"/>
        <v>6.666666666666667</v>
      </c>
      <c r="E81" s="137"/>
      <c r="F81" s="143">
        <f t="shared" ref="F81:F88" si="31">($K$3*D81)/100</f>
        <v>3.3333333333333339</v>
      </c>
      <c r="G81" s="144"/>
      <c r="H81" s="145">
        <f t="shared" si="26"/>
        <v>500.00000000000011</v>
      </c>
      <c r="I81" s="146"/>
      <c r="J81" s="7">
        <f t="shared" si="27"/>
        <v>2267.4380952380952</v>
      </c>
      <c r="K81" s="7">
        <f t="shared" si="28"/>
        <v>-1767.4380952380952</v>
      </c>
      <c r="U81" s="32"/>
      <c r="V81" s="161" t="s">
        <v>142</v>
      </c>
      <c r="W81" s="161"/>
      <c r="X81" s="161" t="s">
        <v>143</v>
      </c>
      <c r="Y81" s="161"/>
      <c r="Z81" s="161" t="s">
        <v>187</v>
      </c>
      <c r="AA81" s="161"/>
    </row>
    <row r="82" spans="1:27">
      <c r="A82">
        <v>0.4</v>
      </c>
      <c r="B82" s="147" t="s">
        <v>37</v>
      </c>
      <c r="C82" s="147"/>
      <c r="D82" s="137">
        <f t="shared" si="24"/>
        <v>13.333333333333334</v>
      </c>
      <c r="E82" s="137"/>
      <c r="F82" s="143">
        <f t="shared" si="31"/>
        <v>6.6666666666666679</v>
      </c>
      <c r="G82" s="144"/>
      <c r="H82" s="145">
        <f t="shared" si="26"/>
        <v>1000.0000000000002</v>
      </c>
      <c r="I82" s="146"/>
      <c r="J82" s="7">
        <f t="shared" si="27"/>
        <v>2267.4380952380952</v>
      </c>
      <c r="K82" s="7">
        <f t="shared" si="28"/>
        <v>-1267.438095238095</v>
      </c>
      <c r="U82" s="32"/>
      <c r="V82" s="137">
        <f>V76-V70</f>
        <v>4.550000000000054E-2</v>
      </c>
      <c r="W82" s="137"/>
      <c r="X82" s="137">
        <f>V82*7</f>
        <v>0.31850000000000378</v>
      </c>
      <c r="Y82" s="137"/>
      <c r="Z82" s="137">
        <f>V82*365</f>
        <v>16.607500000000197</v>
      </c>
      <c r="AA82" s="137"/>
    </row>
    <row r="83" spans="1:27">
      <c r="A83">
        <v>1.1000000000000001</v>
      </c>
      <c r="B83" s="147" t="s">
        <v>38</v>
      </c>
      <c r="C83" s="147"/>
      <c r="D83" s="137">
        <f t="shared" si="24"/>
        <v>36.666666666666671</v>
      </c>
      <c r="E83" s="137"/>
      <c r="F83" s="143">
        <f t="shared" si="31"/>
        <v>18.333333333333336</v>
      </c>
      <c r="G83" s="144"/>
      <c r="H83" s="145">
        <f t="shared" si="26"/>
        <v>2750.0000000000005</v>
      </c>
      <c r="I83" s="146"/>
      <c r="J83" s="7">
        <f t="shared" si="27"/>
        <v>2267.4380952380952</v>
      </c>
      <c r="K83" s="7">
        <f t="shared" si="28"/>
        <v>482.56190476190523</v>
      </c>
      <c r="U83" s="32"/>
    </row>
    <row r="84" spans="1:27">
      <c r="A84">
        <v>2</v>
      </c>
      <c r="B84" s="147" t="s">
        <v>39</v>
      </c>
      <c r="C84" s="147"/>
      <c r="D84" s="137">
        <f t="shared" si="24"/>
        <v>66.666666666666671</v>
      </c>
      <c r="E84" s="137"/>
      <c r="F84" s="143">
        <f t="shared" si="31"/>
        <v>33.333333333333336</v>
      </c>
      <c r="G84" s="144"/>
      <c r="H84" s="145">
        <f t="shared" si="26"/>
        <v>5000</v>
      </c>
      <c r="I84" s="146"/>
      <c r="J84" s="7">
        <f t="shared" si="27"/>
        <v>2267.4380952380952</v>
      </c>
      <c r="K84" s="7">
        <f t="shared" si="28"/>
        <v>2732.5619047619048</v>
      </c>
      <c r="U84" s="32"/>
    </row>
    <row r="85" spans="1:27">
      <c r="A85">
        <v>2.6</v>
      </c>
      <c r="B85" s="147" t="s">
        <v>40</v>
      </c>
      <c r="C85" s="147"/>
      <c r="D85" s="137">
        <f t="shared" si="24"/>
        <v>86.666666666666671</v>
      </c>
      <c r="E85" s="137"/>
      <c r="F85" s="143">
        <f t="shared" si="31"/>
        <v>43.333333333333343</v>
      </c>
      <c r="G85" s="144"/>
      <c r="H85" s="145">
        <f t="shared" si="26"/>
        <v>6500.0000000000018</v>
      </c>
      <c r="I85" s="146"/>
      <c r="J85" s="7">
        <f t="shared" si="27"/>
        <v>2267.4380952380952</v>
      </c>
      <c r="K85" s="7">
        <f t="shared" si="28"/>
        <v>4232.5619047619066</v>
      </c>
      <c r="U85" s="32"/>
    </row>
    <row r="86" spans="1:27">
      <c r="A86">
        <v>2.1</v>
      </c>
      <c r="B86" s="147" t="s">
        <v>41</v>
      </c>
      <c r="C86" s="147"/>
      <c r="D86" s="137">
        <f t="shared" si="24"/>
        <v>70</v>
      </c>
      <c r="E86" s="137"/>
      <c r="F86" s="143">
        <f t="shared" si="31"/>
        <v>35</v>
      </c>
      <c r="G86" s="144"/>
      <c r="H86" s="145">
        <f t="shared" si="26"/>
        <v>5250</v>
      </c>
      <c r="I86" s="146"/>
      <c r="J86" s="7">
        <f t="shared" si="27"/>
        <v>2267.4380952380952</v>
      </c>
      <c r="K86" s="7">
        <f t="shared" si="28"/>
        <v>2982.5619047619048</v>
      </c>
      <c r="U86" s="32"/>
    </row>
    <row r="87" spans="1:27">
      <c r="A87">
        <v>1.2</v>
      </c>
      <c r="B87" s="147" t="s">
        <v>42</v>
      </c>
      <c r="C87" s="147"/>
      <c r="D87" s="137">
        <f t="shared" si="24"/>
        <v>40</v>
      </c>
      <c r="E87" s="137"/>
      <c r="F87" s="143">
        <f t="shared" si="31"/>
        <v>20</v>
      </c>
      <c r="G87" s="144"/>
      <c r="H87" s="145">
        <f t="shared" si="26"/>
        <v>3000</v>
      </c>
      <c r="I87" s="146"/>
      <c r="J87" s="7">
        <f t="shared" si="27"/>
        <v>2267.4380952380952</v>
      </c>
      <c r="K87" s="7">
        <f t="shared" si="28"/>
        <v>732.56190476190477</v>
      </c>
      <c r="U87" s="32"/>
    </row>
    <row r="88" spans="1:27">
      <c r="A88">
        <v>0.3</v>
      </c>
      <c r="B88" s="147" t="s">
        <v>43</v>
      </c>
      <c r="C88" s="147"/>
      <c r="D88" s="137">
        <f t="shared" si="24"/>
        <v>10</v>
      </c>
      <c r="E88" s="137"/>
      <c r="F88" s="143">
        <f t="shared" si="31"/>
        <v>5</v>
      </c>
      <c r="G88" s="144"/>
      <c r="H88" s="145">
        <f t="shared" si="26"/>
        <v>750</v>
      </c>
      <c r="I88" s="146"/>
      <c r="J88" s="7">
        <f t="shared" si="27"/>
        <v>2267.4380952380952</v>
      </c>
      <c r="K88" s="7">
        <f t="shared" si="28"/>
        <v>-1517.4380952380952</v>
      </c>
      <c r="U88" s="32"/>
    </row>
    <row r="89" spans="1:27">
      <c r="B89" s="6"/>
      <c r="C89" s="6"/>
      <c r="F89" s="138" t="s">
        <v>318</v>
      </c>
      <c r="G89" s="138"/>
      <c r="H89" s="138">
        <f>SUM(H72:I88)</f>
        <v>38500</v>
      </c>
      <c r="I89" s="138"/>
      <c r="U89" s="32"/>
    </row>
    <row r="90" spans="1:27">
      <c r="B90" s="6"/>
      <c r="C90" s="6"/>
      <c r="F90" s="138" t="s">
        <v>48</v>
      </c>
      <c r="G90" s="138"/>
      <c r="H90" s="138">
        <f>H89*3600</f>
        <v>138600000</v>
      </c>
      <c r="I90" s="138"/>
      <c r="U90" s="32"/>
    </row>
    <row r="91" spans="1:27">
      <c r="H91" s="6"/>
      <c r="I91" s="6"/>
      <c r="U91" s="32"/>
    </row>
    <row r="92" spans="1:27">
      <c r="H92" s="6"/>
      <c r="I92" s="6"/>
    </row>
    <row r="93" spans="1:27">
      <c r="A93" s="1" t="s">
        <v>80</v>
      </c>
      <c r="B93" s="138" t="s">
        <v>54</v>
      </c>
      <c r="C93" s="138"/>
      <c r="D93" s="138" t="s">
        <v>44</v>
      </c>
      <c r="E93" s="138"/>
      <c r="F93" s="139" t="s">
        <v>27</v>
      </c>
      <c r="G93" s="141"/>
      <c r="H93" s="138" t="s">
        <v>319</v>
      </c>
      <c r="I93" s="138"/>
    </row>
    <row r="94" spans="1:27">
      <c r="A94">
        <v>0.3</v>
      </c>
      <c r="B94" s="147" t="s">
        <v>30</v>
      </c>
      <c r="C94" s="147"/>
      <c r="D94" s="137">
        <f t="shared" ref="D94:D104" si="32">A94/0.03</f>
        <v>10</v>
      </c>
      <c r="E94" s="137"/>
      <c r="F94" s="143">
        <f t="shared" ref="F94:F104" si="33">($K$3*D94)/100</f>
        <v>5</v>
      </c>
      <c r="G94" s="144"/>
      <c r="H94" s="128">
        <f t="shared" ref="H94:H104" si="34">$K$4*F94</f>
        <v>750</v>
      </c>
      <c r="I94" s="128"/>
    </row>
    <row r="95" spans="1:27">
      <c r="A95">
        <v>0.9</v>
      </c>
      <c r="B95" s="148" t="s">
        <v>31</v>
      </c>
      <c r="C95" s="147"/>
      <c r="D95" s="137">
        <f t="shared" si="32"/>
        <v>30.000000000000004</v>
      </c>
      <c r="E95" s="137"/>
      <c r="F95" s="143">
        <f t="shared" si="33"/>
        <v>15.000000000000002</v>
      </c>
      <c r="G95" s="144"/>
      <c r="H95" s="128">
        <f t="shared" si="34"/>
        <v>2250.0000000000005</v>
      </c>
      <c r="I95" s="128"/>
    </row>
    <row r="96" spans="1:27">
      <c r="A96">
        <v>1.2</v>
      </c>
      <c r="B96" s="147" t="s">
        <v>32</v>
      </c>
      <c r="C96" s="147"/>
      <c r="D96" s="137">
        <f t="shared" si="32"/>
        <v>40</v>
      </c>
      <c r="E96" s="137"/>
      <c r="F96" s="143">
        <f t="shared" si="33"/>
        <v>20</v>
      </c>
      <c r="G96" s="144"/>
      <c r="H96" s="128">
        <f t="shared" si="34"/>
        <v>3000</v>
      </c>
      <c r="I96" s="128"/>
    </row>
    <row r="97" spans="1:9">
      <c r="A97">
        <v>1.3</v>
      </c>
      <c r="B97" s="147" t="s">
        <v>33</v>
      </c>
      <c r="C97" s="147"/>
      <c r="D97" s="137">
        <f t="shared" si="32"/>
        <v>43.333333333333336</v>
      </c>
      <c r="E97" s="137"/>
      <c r="F97" s="143">
        <f t="shared" si="33"/>
        <v>21.666666666666671</v>
      </c>
      <c r="G97" s="144"/>
      <c r="H97" s="128">
        <f t="shared" si="34"/>
        <v>3250.0000000000009</v>
      </c>
      <c r="I97" s="128"/>
    </row>
    <row r="98" spans="1:9">
      <c r="A98">
        <v>1</v>
      </c>
      <c r="B98" s="147" t="s">
        <v>34</v>
      </c>
      <c r="C98" s="147"/>
      <c r="D98" s="137">
        <f t="shared" si="32"/>
        <v>33.333333333333336</v>
      </c>
      <c r="E98" s="137"/>
      <c r="F98" s="143">
        <f t="shared" si="33"/>
        <v>16.666666666666668</v>
      </c>
      <c r="G98" s="144"/>
      <c r="H98" s="128">
        <f t="shared" si="34"/>
        <v>2500</v>
      </c>
      <c r="I98" s="128"/>
    </row>
    <row r="99" spans="1:9">
      <c r="A99">
        <v>0.4</v>
      </c>
      <c r="B99" s="147" t="s">
        <v>35</v>
      </c>
      <c r="C99" s="147"/>
      <c r="D99" s="137">
        <f t="shared" si="32"/>
        <v>13.333333333333334</v>
      </c>
      <c r="E99" s="137"/>
      <c r="F99" s="143">
        <f t="shared" si="33"/>
        <v>6.6666666666666679</v>
      </c>
      <c r="G99" s="144"/>
      <c r="H99" s="128">
        <f t="shared" si="34"/>
        <v>1000.0000000000002</v>
      </c>
      <c r="I99" s="128"/>
    </row>
    <row r="100" spans="1:9">
      <c r="A100">
        <v>0.1</v>
      </c>
      <c r="B100" s="147" t="s">
        <v>36</v>
      </c>
      <c r="C100" s="147"/>
      <c r="D100" s="137">
        <f t="shared" si="32"/>
        <v>3.3333333333333335</v>
      </c>
      <c r="E100" s="137"/>
      <c r="F100" s="143">
        <f t="shared" si="33"/>
        <v>1.666666666666667</v>
      </c>
      <c r="G100" s="144"/>
      <c r="H100" s="128">
        <f t="shared" si="34"/>
        <v>250.00000000000006</v>
      </c>
      <c r="I100" s="128"/>
    </row>
    <row r="101" spans="1:9">
      <c r="A101">
        <v>0.2</v>
      </c>
      <c r="B101" s="147" t="s">
        <v>37</v>
      </c>
      <c r="C101" s="147"/>
      <c r="D101" s="137">
        <f t="shared" si="32"/>
        <v>6.666666666666667</v>
      </c>
      <c r="E101" s="137"/>
      <c r="F101" s="143">
        <f t="shared" si="33"/>
        <v>3.3333333333333339</v>
      </c>
      <c r="G101" s="144"/>
      <c r="H101" s="128">
        <f t="shared" si="34"/>
        <v>500.00000000000011</v>
      </c>
      <c r="I101" s="128"/>
    </row>
    <row r="102" spans="1:9">
      <c r="A102">
        <v>0.4</v>
      </c>
      <c r="B102" s="147" t="s">
        <v>38</v>
      </c>
      <c r="C102" s="147"/>
      <c r="D102" s="137">
        <f t="shared" si="32"/>
        <v>13.333333333333334</v>
      </c>
      <c r="E102" s="137"/>
      <c r="F102" s="143">
        <f t="shared" si="33"/>
        <v>6.6666666666666679</v>
      </c>
      <c r="G102" s="144"/>
      <c r="H102" s="128">
        <f t="shared" si="34"/>
        <v>1000.0000000000002</v>
      </c>
      <c r="I102" s="128"/>
    </row>
    <row r="103" spans="1:9">
      <c r="A103">
        <v>0.6</v>
      </c>
      <c r="B103" s="147" t="s">
        <v>39</v>
      </c>
      <c r="C103" s="147"/>
      <c r="D103" s="137">
        <f t="shared" si="32"/>
        <v>20</v>
      </c>
      <c r="E103" s="137"/>
      <c r="F103" s="143">
        <f t="shared" si="33"/>
        <v>10</v>
      </c>
      <c r="G103" s="144"/>
      <c r="H103" s="128">
        <f t="shared" si="34"/>
        <v>1500</v>
      </c>
      <c r="I103" s="128"/>
    </row>
    <row r="104" spans="1:9">
      <c r="A104">
        <v>0.3</v>
      </c>
      <c r="B104" s="147" t="s">
        <v>40</v>
      </c>
      <c r="C104" s="147"/>
      <c r="D104" s="137">
        <f t="shared" si="32"/>
        <v>10</v>
      </c>
      <c r="E104" s="137"/>
      <c r="F104" s="143">
        <f t="shared" si="33"/>
        <v>5</v>
      </c>
      <c r="G104" s="144"/>
      <c r="H104" s="128">
        <f t="shared" si="34"/>
        <v>750</v>
      </c>
      <c r="I104" s="128"/>
    </row>
    <row r="105" spans="1:9">
      <c r="B105" s="6"/>
      <c r="C105" s="6"/>
      <c r="F105" s="138" t="s">
        <v>318</v>
      </c>
      <c r="G105" s="138"/>
      <c r="H105" s="138">
        <f>SUM(H94:I104)</f>
        <v>16750</v>
      </c>
      <c r="I105" s="138"/>
    </row>
    <row r="106" spans="1:9">
      <c r="B106" s="6"/>
      <c r="C106" s="6"/>
      <c r="F106" s="138" t="s">
        <v>48</v>
      </c>
      <c r="G106" s="138"/>
      <c r="H106" s="138">
        <f>H105*3600</f>
        <v>60300000</v>
      </c>
      <c r="I106" s="138"/>
    </row>
    <row r="109" spans="1:9">
      <c r="A109" s="1" t="s">
        <v>80</v>
      </c>
      <c r="B109" s="138" t="s">
        <v>14</v>
      </c>
      <c r="C109" s="138"/>
      <c r="D109" s="138" t="s">
        <v>44</v>
      </c>
      <c r="E109" s="138"/>
      <c r="F109" s="139" t="s">
        <v>27</v>
      </c>
      <c r="G109" s="141"/>
      <c r="H109" s="138" t="s">
        <v>319</v>
      </c>
      <c r="I109" s="138"/>
    </row>
    <row r="110" spans="1:9">
      <c r="A110">
        <v>0.2</v>
      </c>
      <c r="B110" s="147" t="s">
        <v>30</v>
      </c>
      <c r="C110" s="147"/>
      <c r="D110" s="137">
        <f t="shared" ref="D110:D114" si="35">A110/0.03</f>
        <v>6.666666666666667</v>
      </c>
      <c r="E110" s="137"/>
      <c r="F110" s="143">
        <f t="shared" ref="F110:F114" si="36">($K$3*D110)/100</f>
        <v>3.3333333333333339</v>
      </c>
      <c r="G110" s="144"/>
      <c r="H110" s="128">
        <f t="shared" ref="H110:H114" si="37">$K$4*F110</f>
        <v>500.00000000000011</v>
      </c>
      <c r="I110" s="128"/>
    </row>
    <row r="111" spans="1:9">
      <c r="A111">
        <v>0.6</v>
      </c>
      <c r="B111" s="148" t="s">
        <v>31</v>
      </c>
      <c r="C111" s="147"/>
      <c r="D111" s="137">
        <f t="shared" si="35"/>
        <v>20</v>
      </c>
      <c r="E111" s="137"/>
      <c r="F111" s="143">
        <f t="shared" si="36"/>
        <v>10</v>
      </c>
      <c r="G111" s="144"/>
      <c r="H111" s="128">
        <f t="shared" si="37"/>
        <v>1500</v>
      </c>
      <c r="I111" s="128"/>
    </row>
    <row r="112" spans="1:9">
      <c r="A112">
        <v>0.9</v>
      </c>
      <c r="B112" s="147" t="s">
        <v>32</v>
      </c>
      <c r="C112" s="147"/>
      <c r="D112" s="137">
        <f t="shared" si="35"/>
        <v>30.000000000000004</v>
      </c>
      <c r="E112" s="137"/>
      <c r="F112" s="143">
        <f t="shared" si="36"/>
        <v>15.000000000000002</v>
      </c>
      <c r="G112" s="144"/>
      <c r="H112" s="128">
        <f t="shared" si="37"/>
        <v>2250.0000000000005</v>
      </c>
      <c r="I112" s="128"/>
    </row>
    <row r="113" spans="1:9">
      <c r="A113">
        <v>1.2</v>
      </c>
      <c r="B113" s="147" t="s">
        <v>33</v>
      </c>
      <c r="C113" s="147"/>
      <c r="D113" s="137">
        <f t="shared" si="35"/>
        <v>40</v>
      </c>
      <c r="E113" s="137"/>
      <c r="F113" s="143">
        <f t="shared" si="36"/>
        <v>20</v>
      </c>
      <c r="G113" s="144"/>
      <c r="H113" s="128">
        <f t="shared" si="37"/>
        <v>3000</v>
      </c>
      <c r="I113" s="128"/>
    </row>
    <row r="114" spans="1:9">
      <c r="A114">
        <v>0.8</v>
      </c>
      <c r="B114" s="147" t="s">
        <v>34</v>
      </c>
      <c r="C114" s="147"/>
      <c r="D114" s="137">
        <f t="shared" si="35"/>
        <v>26.666666666666668</v>
      </c>
      <c r="E114" s="137"/>
      <c r="F114" s="143">
        <f t="shared" si="36"/>
        <v>13.333333333333336</v>
      </c>
      <c r="G114" s="144"/>
      <c r="H114" s="128">
        <f t="shared" si="37"/>
        <v>2000.0000000000005</v>
      </c>
      <c r="I114" s="128"/>
    </row>
    <row r="115" spans="1:9">
      <c r="B115" s="6"/>
      <c r="C115" s="6"/>
      <c r="F115" s="138" t="s">
        <v>318</v>
      </c>
      <c r="G115" s="138"/>
      <c r="H115" s="138">
        <f>SUM(H110:I114)</f>
        <v>9250</v>
      </c>
      <c r="I115" s="138"/>
    </row>
    <row r="116" spans="1:9">
      <c r="B116" s="6"/>
      <c r="C116" s="6"/>
      <c r="F116" s="138" t="s">
        <v>48</v>
      </c>
      <c r="G116" s="138"/>
      <c r="H116" s="138">
        <f>H115*3600</f>
        <v>33300000</v>
      </c>
      <c r="I116" s="138"/>
    </row>
  </sheetData>
  <mergeCells count="643">
    <mergeCell ref="V81:W81"/>
    <mergeCell ref="X81:Y81"/>
    <mergeCell ref="Z81:AA81"/>
    <mergeCell ref="V82:W82"/>
    <mergeCell ref="X82:Y82"/>
    <mergeCell ref="Z82:AA82"/>
    <mergeCell ref="V76:W76"/>
    <mergeCell ref="X76:Y76"/>
    <mergeCell ref="Z76:AA76"/>
    <mergeCell ref="V79:W79"/>
    <mergeCell ref="X79:Y79"/>
    <mergeCell ref="Z79:AA79"/>
    <mergeCell ref="V80:W80"/>
    <mergeCell ref="X80:Y80"/>
    <mergeCell ref="Z80:AA80"/>
    <mergeCell ref="V73:W73"/>
    <mergeCell ref="X73:Y73"/>
    <mergeCell ref="Z73:AA73"/>
    <mergeCell ref="V74:W74"/>
    <mergeCell ref="X74:Y74"/>
    <mergeCell ref="Z74:AA74"/>
    <mergeCell ref="V75:W75"/>
    <mergeCell ref="X75:Y75"/>
    <mergeCell ref="Z75:AA75"/>
    <mergeCell ref="K18:L18"/>
    <mergeCell ref="K19:L19"/>
    <mergeCell ref="K20:L20"/>
    <mergeCell ref="V67:W67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AC67:AD67"/>
    <mergeCell ref="AC68:AD68"/>
    <mergeCell ref="AC69:AD69"/>
    <mergeCell ref="AC71:AD71"/>
    <mergeCell ref="O20:P20"/>
    <mergeCell ref="N21:O21"/>
    <mergeCell ref="O67:Q67"/>
    <mergeCell ref="O68:Q68"/>
    <mergeCell ref="K21:L21"/>
    <mergeCell ref="X67:Y67"/>
    <mergeCell ref="Z67:AA67"/>
    <mergeCell ref="V68:W68"/>
    <mergeCell ref="X68:Y68"/>
    <mergeCell ref="Z68:AA68"/>
    <mergeCell ref="V69:W69"/>
    <mergeCell ref="X69:Y69"/>
    <mergeCell ref="Z69:AA69"/>
    <mergeCell ref="V70:W70"/>
    <mergeCell ref="X70:Y70"/>
    <mergeCell ref="Z70:AA7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K14:L14"/>
    <mergeCell ref="K15:L15"/>
    <mergeCell ref="K11:L11"/>
    <mergeCell ref="K12:L12"/>
    <mergeCell ref="K13:L13"/>
    <mergeCell ref="B4:C4"/>
    <mergeCell ref="B5:C5"/>
    <mergeCell ref="B6:C6"/>
    <mergeCell ref="B20:C20"/>
    <mergeCell ref="E20:F20"/>
    <mergeCell ref="G20:H20"/>
    <mergeCell ref="D4:E4"/>
    <mergeCell ref="D5:E5"/>
    <mergeCell ref="E17:F17"/>
    <mergeCell ref="E18:F18"/>
    <mergeCell ref="E19:F19"/>
    <mergeCell ref="G11:H11"/>
    <mergeCell ref="B15:C15"/>
    <mergeCell ref="G15:H15"/>
    <mergeCell ref="G16:H16"/>
    <mergeCell ref="G18:H18"/>
    <mergeCell ref="G19:H19"/>
    <mergeCell ref="K16:L16"/>
    <mergeCell ref="K17:L17"/>
    <mergeCell ref="B70:C70"/>
    <mergeCell ref="B71:C71"/>
    <mergeCell ref="D71:E71"/>
    <mergeCell ref="F71:G71"/>
    <mergeCell ref="B10:C10"/>
    <mergeCell ref="B11:C11"/>
    <mergeCell ref="B12:C12"/>
    <mergeCell ref="B13:C13"/>
    <mergeCell ref="B14:C14"/>
    <mergeCell ref="E11:F11"/>
    <mergeCell ref="E12:F12"/>
    <mergeCell ref="E13:F13"/>
    <mergeCell ref="E14:F14"/>
    <mergeCell ref="E15:F15"/>
    <mergeCell ref="G17:H17"/>
    <mergeCell ref="B16:C16"/>
    <mergeCell ref="B17:C17"/>
    <mergeCell ref="B18:C18"/>
    <mergeCell ref="B19:C19"/>
    <mergeCell ref="E16:F16"/>
    <mergeCell ref="G12:H12"/>
    <mergeCell ref="G13:H13"/>
    <mergeCell ref="G14:H14"/>
    <mergeCell ref="E21:F21"/>
    <mergeCell ref="B72:C72"/>
    <mergeCell ref="B73:C73"/>
    <mergeCell ref="B74:C74"/>
    <mergeCell ref="B75:C75"/>
    <mergeCell ref="D72:E72"/>
    <mergeCell ref="F72:G72"/>
    <mergeCell ref="F73:G73"/>
    <mergeCell ref="F74:G74"/>
    <mergeCell ref="F75:G75"/>
    <mergeCell ref="D73:E73"/>
    <mergeCell ref="D74:E74"/>
    <mergeCell ref="D75:E75"/>
    <mergeCell ref="B86:C86"/>
    <mergeCell ref="B87:C87"/>
    <mergeCell ref="B88:C88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D81:E81"/>
    <mergeCell ref="D82:E82"/>
    <mergeCell ref="D83:E83"/>
    <mergeCell ref="D84:E84"/>
    <mergeCell ref="D85:E85"/>
    <mergeCell ref="H86:I86"/>
    <mergeCell ref="H87:I87"/>
    <mergeCell ref="H88:I88"/>
    <mergeCell ref="H89:I89"/>
    <mergeCell ref="H81:I81"/>
    <mergeCell ref="H82:I82"/>
    <mergeCell ref="H83:I83"/>
    <mergeCell ref="H84:I84"/>
    <mergeCell ref="H85:I85"/>
    <mergeCell ref="D86:E86"/>
    <mergeCell ref="D87:E87"/>
    <mergeCell ref="D88:E88"/>
    <mergeCell ref="F85:G85"/>
    <mergeCell ref="F86:G86"/>
    <mergeCell ref="F87:G87"/>
    <mergeCell ref="F88:G88"/>
    <mergeCell ref="D76:E76"/>
    <mergeCell ref="D77:E77"/>
    <mergeCell ref="D78:E78"/>
    <mergeCell ref="D79:E79"/>
    <mergeCell ref="D80:E80"/>
    <mergeCell ref="I3:J3"/>
    <mergeCell ref="I4:J4"/>
    <mergeCell ref="I11:J11"/>
    <mergeCell ref="I16:J1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F76:G76"/>
    <mergeCell ref="F77:G77"/>
    <mergeCell ref="F78:G78"/>
    <mergeCell ref="F79:G79"/>
    <mergeCell ref="F80:G80"/>
    <mergeCell ref="D6:E6"/>
    <mergeCell ref="B95:C95"/>
    <mergeCell ref="D95:E95"/>
    <mergeCell ref="F95:G95"/>
    <mergeCell ref="H95:I95"/>
    <mergeCell ref="B96:C96"/>
    <mergeCell ref="D96:E96"/>
    <mergeCell ref="F96:G96"/>
    <mergeCell ref="H96:I96"/>
    <mergeCell ref="H76:I76"/>
    <mergeCell ref="H77:I77"/>
    <mergeCell ref="H78:I78"/>
    <mergeCell ref="H79:I79"/>
    <mergeCell ref="H80:I80"/>
    <mergeCell ref="B94:C94"/>
    <mergeCell ref="D94:E94"/>
    <mergeCell ref="F94:G94"/>
    <mergeCell ref="H94:I94"/>
    <mergeCell ref="F89:G89"/>
    <mergeCell ref="F90:G90"/>
    <mergeCell ref="B93:C93"/>
    <mergeCell ref="D93:E93"/>
    <mergeCell ref="F93:G93"/>
    <mergeCell ref="H93:I93"/>
    <mergeCell ref="H90:I90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7:C97"/>
    <mergeCell ref="D97:E97"/>
    <mergeCell ref="F97:G97"/>
    <mergeCell ref="H97:I97"/>
    <mergeCell ref="B98:C98"/>
    <mergeCell ref="D98:E98"/>
    <mergeCell ref="F98:G98"/>
    <mergeCell ref="H98:I98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1:C101"/>
    <mergeCell ref="D101:E101"/>
    <mergeCell ref="F101:G101"/>
    <mergeCell ref="H101:I101"/>
    <mergeCell ref="B102:C102"/>
    <mergeCell ref="D102:E102"/>
    <mergeCell ref="F102:G102"/>
    <mergeCell ref="H102:I102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F106:G106"/>
    <mergeCell ref="H106:I106"/>
    <mergeCell ref="B109:C109"/>
    <mergeCell ref="D109:E109"/>
    <mergeCell ref="F109:G109"/>
    <mergeCell ref="H109:I109"/>
    <mergeCell ref="B114:C114"/>
    <mergeCell ref="D114:E114"/>
    <mergeCell ref="F114:G114"/>
    <mergeCell ref="H114:I114"/>
    <mergeCell ref="B112:C112"/>
    <mergeCell ref="D112:E112"/>
    <mergeCell ref="F112:G112"/>
    <mergeCell ref="H112:I112"/>
    <mergeCell ref="B113:C113"/>
    <mergeCell ref="D113:E113"/>
    <mergeCell ref="F113:G113"/>
    <mergeCell ref="H113:I113"/>
    <mergeCell ref="F116:G116"/>
    <mergeCell ref="H116:I116"/>
    <mergeCell ref="K68:M68"/>
    <mergeCell ref="K69:M69"/>
    <mergeCell ref="K67:L67"/>
    <mergeCell ref="F115:G115"/>
    <mergeCell ref="H115:I115"/>
    <mergeCell ref="F105:G105"/>
    <mergeCell ref="H105:I105"/>
    <mergeCell ref="H71:I71"/>
    <mergeCell ref="F81:G81"/>
    <mergeCell ref="F82:G82"/>
    <mergeCell ref="F83:G83"/>
    <mergeCell ref="F84:G84"/>
    <mergeCell ref="H75:I75"/>
    <mergeCell ref="H74:I74"/>
    <mergeCell ref="H73:I73"/>
    <mergeCell ref="H72:I72"/>
    <mergeCell ref="B24:C24"/>
    <mergeCell ref="E24:F24"/>
    <mergeCell ref="G24:H24"/>
    <mergeCell ref="B25:C25"/>
    <mergeCell ref="E25:F25"/>
    <mergeCell ref="G25:H25"/>
    <mergeCell ref="B26:C26"/>
    <mergeCell ref="E26:F26"/>
    <mergeCell ref="G26:H26"/>
    <mergeCell ref="G32:H32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K29:L29"/>
    <mergeCell ref="K30:L30"/>
    <mergeCell ref="K31:L31"/>
    <mergeCell ref="K32:L32"/>
    <mergeCell ref="K33:L33"/>
    <mergeCell ref="I34:J34"/>
    <mergeCell ref="N34:O34"/>
    <mergeCell ref="I37:J37"/>
    <mergeCell ref="B33:C33"/>
    <mergeCell ref="E33:F33"/>
    <mergeCell ref="G33:H33"/>
    <mergeCell ref="I29:J29"/>
    <mergeCell ref="I30:J30"/>
    <mergeCell ref="I31:J31"/>
    <mergeCell ref="I32:J32"/>
    <mergeCell ref="I33:J33"/>
    <mergeCell ref="B30:C30"/>
    <mergeCell ref="E30:F30"/>
    <mergeCell ref="G30:H30"/>
    <mergeCell ref="B31:C31"/>
    <mergeCell ref="E31:F31"/>
    <mergeCell ref="G31:H31"/>
    <mergeCell ref="B32:C32"/>
    <mergeCell ref="E32:F32"/>
    <mergeCell ref="I24:J24"/>
    <mergeCell ref="K24:L24"/>
    <mergeCell ref="I25:J25"/>
    <mergeCell ref="K25:L25"/>
    <mergeCell ref="I26:J26"/>
    <mergeCell ref="K26:L26"/>
    <mergeCell ref="I27:J27"/>
    <mergeCell ref="K27:L27"/>
    <mergeCell ref="K28:L28"/>
    <mergeCell ref="I28:J28"/>
    <mergeCell ref="E34:F34"/>
    <mergeCell ref="K34:L34"/>
    <mergeCell ref="B37:C37"/>
    <mergeCell ref="E37:F37"/>
    <mergeCell ref="G37:H37"/>
    <mergeCell ref="K37:L37"/>
    <mergeCell ref="B38:C38"/>
    <mergeCell ref="E38:F38"/>
    <mergeCell ref="G38:H38"/>
    <mergeCell ref="K38:L38"/>
    <mergeCell ref="I38:J38"/>
    <mergeCell ref="B39:C39"/>
    <mergeCell ref="E39:F39"/>
    <mergeCell ref="G39:H39"/>
    <mergeCell ref="I39:J39"/>
    <mergeCell ref="K39:L39"/>
    <mergeCell ref="B40:C40"/>
    <mergeCell ref="E40:F40"/>
    <mergeCell ref="G40:H40"/>
    <mergeCell ref="I40:J40"/>
    <mergeCell ref="K40:L40"/>
    <mergeCell ref="B41:C41"/>
    <mergeCell ref="E41:F41"/>
    <mergeCell ref="G41:H41"/>
    <mergeCell ref="I41:J41"/>
    <mergeCell ref="K41:L41"/>
    <mergeCell ref="B42:C42"/>
    <mergeCell ref="E42:F42"/>
    <mergeCell ref="G42:H42"/>
    <mergeCell ref="I42:J42"/>
    <mergeCell ref="K42:L42"/>
    <mergeCell ref="B43:C43"/>
    <mergeCell ref="E43:F43"/>
    <mergeCell ref="G43:H43"/>
    <mergeCell ref="I43:J43"/>
    <mergeCell ref="K43:L43"/>
    <mergeCell ref="B44:C44"/>
    <mergeCell ref="E44:F44"/>
    <mergeCell ref="G44:H44"/>
    <mergeCell ref="I44:J44"/>
    <mergeCell ref="K44:L44"/>
    <mergeCell ref="B45:C45"/>
    <mergeCell ref="E45:F45"/>
    <mergeCell ref="G45:H45"/>
    <mergeCell ref="I45:J45"/>
    <mergeCell ref="K45:L45"/>
    <mergeCell ref="B46:C46"/>
    <mergeCell ref="E46:F46"/>
    <mergeCell ref="G46:H46"/>
    <mergeCell ref="I46:J46"/>
    <mergeCell ref="K46:L46"/>
    <mergeCell ref="E47:F47"/>
    <mergeCell ref="I47:J47"/>
    <mergeCell ref="K47:L47"/>
    <mergeCell ref="B50:C50"/>
    <mergeCell ref="E50:F50"/>
    <mergeCell ref="G50:H50"/>
    <mergeCell ref="I50:J50"/>
    <mergeCell ref="K50:L50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5:C55"/>
    <mergeCell ref="E55:F55"/>
    <mergeCell ref="G55:H55"/>
    <mergeCell ref="I55:J55"/>
    <mergeCell ref="K55:L55"/>
    <mergeCell ref="E59:F59"/>
    <mergeCell ref="G59:H59"/>
    <mergeCell ref="I59:J59"/>
    <mergeCell ref="K59:L59"/>
    <mergeCell ref="B56:C56"/>
    <mergeCell ref="E56:F56"/>
    <mergeCell ref="G56:H56"/>
    <mergeCell ref="I56:J56"/>
    <mergeCell ref="K56:L56"/>
    <mergeCell ref="B57:C57"/>
    <mergeCell ref="E57:F57"/>
    <mergeCell ref="G57:H57"/>
    <mergeCell ref="I57:J57"/>
    <mergeCell ref="K57:L57"/>
    <mergeCell ref="E60:F60"/>
    <mergeCell ref="I60:J60"/>
    <mergeCell ref="K60:L60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N47:O47"/>
    <mergeCell ref="N60:O60"/>
    <mergeCell ref="S24:T24"/>
    <mergeCell ref="U24:V24"/>
    <mergeCell ref="W24:X24"/>
    <mergeCell ref="S25:T25"/>
    <mergeCell ref="U25:V25"/>
    <mergeCell ref="W25:X25"/>
    <mergeCell ref="S26:T26"/>
    <mergeCell ref="U26:V26"/>
    <mergeCell ref="W26:X26"/>
    <mergeCell ref="S27:T27"/>
    <mergeCell ref="U27:V27"/>
    <mergeCell ref="W27:X27"/>
    <mergeCell ref="S28:T28"/>
    <mergeCell ref="U28:V28"/>
    <mergeCell ref="W28:X28"/>
    <mergeCell ref="S29:T29"/>
    <mergeCell ref="U29:V29"/>
    <mergeCell ref="W29:X29"/>
    <mergeCell ref="S30:T30"/>
    <mergeCell ref="U30:V30"/>
    <mergeCell ref="W30:X30"/>
    <mergeCell ref="S31:T31"/>
    <mergeCell ref="W31:X31"/>
    <mergeCell ref="S32:T32"/>
    <mergeCell ref="U32:V32"/>
    <mergeCell ref="W32:X32"/>
    <mergeCell ref="S33:T33"/>
    <mergeCell ref="U33:V33"/>
    <mergeCell ref="W33:X33"/>
    <mergeCell ref="W34:X34"/>
    <mergeCell ref="O59:P59"/>
    <mergeCell ref="AA24:AB24"/>
    <mergeCell ref="AA29:AB29"/>
    <mergeCell ref="AA34:AC34"/>
    <mergeCell ref="S37:T37"/>
    <mergeCell ref="U37:V37"/>
    <mergeCell ref="W37:X37"/>
    <mergeCell ref="AA37:AB37"/>
    <mergeCell ref="AC37:AD37"/>
    <mergeCell ref="S38:T38"/>
    <mergeCell ref="U38:V38"/>
    <mergeCell ref="W38:X38"/>
    <mergeCell ref="AA38:AB38"/>
    <mergeCell ref="AC38:AD38"/>
    <mergeCell ref="W41:X41"/>
    <mergeCell ref="AA41:AB41"/>
    <mergeCell ref="AC41:AD41"/>
    <mergeCell ref="AC24:AD24"/>
    <mergeCell ref="AA25:AB25"/>
    <mergeCell ref="AC25:AD25"/>
    <mergeCell ref="AA26:AB26"/>
    <mergeCell ref="AC26:AD26"/>
    <mergeCell ref="AA27:AB27"/>
    <mergeCell ref="AC27:AD27"/>
    <mergeCell ref="AA28:AB28"/>
    <mergeCell ref="AC28:AD28"/>
    <mergeCell ref="AC29:AD29"/>
    <mergeCell ref="AA30:AB30"/>
    <mergeCell ref="AC30:AD30"/>
    <mergeCell ref="AA31:AB31"/>
    <mergeCell ref="AC31:AD31"/>
    <mergeCell ref="AA32:AB32"/>
    <mergeCell ref="AC32:AD32"/>
    <mergeCell ref="AA33:AB33"/>
    <mergeCell ref="AC33:AD33"/>
    <mergeCell ref="S42:T42"/>
    <mergeCell ref="U42:V42"/>
    <mergeCell ref="W42:X42"/>
    <mergeCell ref="AA42:AB42"/>
    <mergeCell ref="AC42:AD42"/>
    <mergeCell ref="S39:T39"/>
    <mergeCell ref="U39:V39"/>
    <mergeCell ref="W39:X39"/>
    <mergeCell ref="AA39:AB39"/>
    <mergeCell ref="AC39:AD39"/>
    <mergeCell ref="S40:T40"/>
    <mergeCell ref="U40:V40"/>
    <mergeCell ref="W40:X40"/>
    <mergeCell ref="AA40:AB40"/>
    <mergeCell ref="AC40:AD40"/>
    <mergeCell ref="W45:X45"/>
    <mergeCell ref="AA45:AB45"/>
    <mergeCell ref="AC45:AD45"/>
    <mergeCell ref="S46:T46"/>
    <mergeCell ref="U46:V46"/>
    <mergeCell ref="W46:X46"/>
    <mergeCell ref="AA46:AB46"/>
    <mergeCell ref="AC46:AD46"/>
    <mergeCell ref="S43:T43"/>
    <mergeCell ref="U43:V43"/>
    <mergeCell ref="W43:X43"/>
    <mergeCell ref="AA43:AB43"/>
    <mergeCell ref="AC43:AD43"/>
    <mergeCell ref="S44:T44"/>
    <mergeCell ref="U44:V44"/>
    <mergeCell ref="W44:X44"/>
    <mergeCell ref="AA44:AB44"/>
    <mergeCell ref="AC44:AD44"/>
    <mergeCell ref="W52:X52"/>
    <mergeCell ref="AA52:AB52"/>
    <mergeCell ref="AC52:AD52"/>
    <mergeCell ref="S53:T53"/>
    <mergeCell ref="U53:V53"/>
    <mergeCell ref="W53:X53"/>
    <mergeCell ref="AA53:AB53"/>
    <mergeCell ref="AC53:AD53"/>
    <mergeCell ref="U47:V47"/>
    <mergeCell ref="W47:X47"/>
    <mergeCell ref="AA47:AC47"/>
    <mergeCell ref="S50:T50"/>
    <mergeCell ref="U50:V50"/>
    <mergeCell ref="W50:X50"/>
    <mergeCell ref="AA50:AB50"/>
    <mergeCell ref="AC50:AD50"/>
    <mergeCell ref="S51:T51"/>
    <mergeCell ref="U51:V51"/>
    <mergeCell ref="W51:X51"/>
    <mergeCell ref="AA51:AB51"/>
    <mergeCell ref="AC51:AD51"/>
    <mergeCell ref="AC56:AD56"/>
    <mergeCell ref="S57:T57"/>
    <mergeCell ref="U57:V57"/>
    <mergeCell ref="W57:X57"/>
    <mergeCell ref="AA57:AB57"/>
    <mergeCell ref="AC57:AD57"/>
    <mergeCell ref="S54:T54"/>
    <mergeCell ref="U54:V54"/>
    <mergeCell ref="W54:X54"/>
    <mergeCell ref="AA54:AB54"/>
    <mergeCell ref="AC54:AD54"/>
    <mergeCell ref="S55:T55"/>
    <mergeCell ref="U55:V55"/>
    <mergeCell ref="W55:X55"/>
    <mergeCell ref="AA55:AB55"/>
    <mergeCell ref="AC55:AD55"/>
    <mergeCell ref="U60:V60"/>
    <mergeCell ref="W60:X60"/>
    <mergeCell ref="AA60:AC60"/>
    <mergeCell ref="B23:C23"/>
    <mergeCell ref="B36:C36"/>
    <mergeCell ref="B49:C49"/>
    <mergeCell ref="R60:T60"/>
    <mergeCell ref="Z24:Z34"/>
    <mergeCell ref="Z37:Z47"/>
    <mergeCell ref="Z50:Z60"/>
    <mergeCell ref="S58:T58"/>
    <mergeCell ref="U58:V58"/>
    <mergeCell ref="W58:X58"/>
    <mergeCell ref="AA58:AB58"/>
    <mergeCell ref="AC58:AD58"/>
    <mergeCell ref="S59:T59"/>
    <mergeCell ref="U59:V59"/>
    <mergeCell ref="W59:X59"/>
    <mergeCell ref="AA59:AB59"/>
    <mergeCell ref="AC59:AD59"/>
    <mergeCell ref="S56:T56"/>
    <mergeCell ref="U56:V56"/>
    <mergeCell ref="W56:X56"/>
    <mergeCell ref="AA56:AB56"/>
    <mergeCell ref="A24:A33"/>
    <mergeCell ref="A37:A46"/>
    <mergeCell ref="A50:A59"/>
    <mergeCell ref="N24:N33"/>
    <mergeCell ref="R24:R33"/>
    <mergeCell ref="N37:N46"/>
    <mergeCell ref="R37:R46"/>
    <mergeCell ref="N50:N59"/>
    <mergeCell ref="R50:R59"/>
    <mergeCell ref="R34:V34"/>
    <mergeCell ref="R47:T47"/>
    <mergeCell ref="S52:T52"/>
    <mergeCell ref="U52:V52"/>
    <mergeCell ref="S45:T45"/>
    <mergeCell ref="U45:V45"/>
    <mergeCell ref="S41:T41"/>
    <mergeCell ref="U41:V41"/>
    <mergeCell ref="U31:V31"/>
    <mergeCell ref="B58:C58"/>
    <mergeCell ref="E58:F58"/>
    <mergeCell ref="G58:H58"/>
    <mergeCell ref="I58:J58"/>
    <mergeCell ref="K58:L58"/>
    <mergeCell ref="B59:C5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82"/>
  <sheetViews>
    <sheetView zoomScale="40" zoomScaleNormal="40" workbookViewId="0">
      <selection activeCell="AE45" sqref="AE45"/>
    </sheetView>
  </sheetViews>
  <sheetFormatPr baseColWidth="10" defaultRowHeight="15"/>
  <cols>
    <col min="1" max="1" width="7.7109375" customWidth="1"/>
    <col min="4" max="4" width="11.42578125" customWidth="1"/>
    <col min="6" max="6" width="11.42578125" customWidth="1"/>
    <col min="14" max="14" width="8" customWidth="1"/>
    <col min="18" max="18" width="3.85546875" customWidth="1"/>
    <col min="20" max="20" width="9.140625" customWidth="1"/>
    <col min="22" max="22" width="11" customWidth="1"/>
    <col min="23" max="23" width="14" customWidth="1"/>
    <col min="26" max="26" width="13.7109375" customWidth="1"/>
    <col min="27" max="27" width="11.42578125" customWidth="1"/>
    <col min="29" max="29" width="15.28515625" customWidth="1"/>
  </cols>
  <sheetData>
    <row r="3" spans="1:29">
      <c r="F3" s="5" t="s">
        <v>18</v>
      </c>
      <c r="G3" s="68" t="s">
        <v>265</v>
      </c>
      <c r="I3" s="149" t="s">
        <v>45</v>
      </c>
      <c r="J3" s="149"/>
      <c r="K3" s="1">
        <v>14</v>
      </c>
    </row>
    <row r="4" spans="1:29">
      <c r="B4" s="150" t="s">
        <v>12</v>
      </c>
      <c r="C4" s="150"/>
      <c r="D4" s="128" t="s">
        <v>51</v>
      </c>
      <c r="E4" s="145"/>
      <c r="F4" s="4" t="s">
        <v>62</v>
      </c>
      <c r="G4" s="4">
        <v>15</v>
      </c>
      <c r="I4" s="149" t="s">
        <v>46</v>
      </c>
      <c r="J4" s="149"/>
      <c r="K4" s="1">
        <v>150</v>
      </c>
    </row>
    <row r="5" spans="1:29">
      <c r="B5" s="151" t="s">
        <v>50</v>
      </c>
      <c r="C5" s="152"/>
      <c r="D5" s="128" t="s">
        <v>52</v>
      </c>
      <c r="E5" s="145"/>
      <c r="F5" s="4" t="s">
        <v>63</v>
      </c>
      <c r="G5" s="4">
        <v>14</v>
      </c>
    </row>
    <row r="6" spans="1:29">
      <c r="I6" s="40" t="s">
        <v>269</v>
      </c>
      <c r="J6" s="1">
        <v>0.14000000000000001</v>
      </c>
    </row>
    <row r="9" spans="1:29">
      <c r="B9" s="142" t="s">
        <v>61</v>
      </c>
      <c r="C9" s="142"/>
    </row>
    <row r="10" spans="1:29" ht="15" customHeight="1">
      <c r="A10" s="32"/>
      <c r="B10" s="124" t="s">
        <v>0</v>
      </c>
      <c r="C10" s="124"/>
      <c r="D10" s="54" t="s">
        <v>1</v>
      </c>
      <c r="E10" s="124" t="s">
        <v>3</v>
      </c>
      <c r="F10" s="124"/>
      <c r="G10" s="124" t="s">
        <v>6</v>
      </c>
      <c r="H10" s="124"/>
      <c r="I10" s="124" t="s">
        <v>58</v>
      </c>
      <c r="J10" s="124"/>
      <c r="K10" s="121" t="s">
        <v>59</v>
      </c>
      <c r="L10" s="123"/>
      <c r="O10" s="124" t="s">
        <v>83</v>
      </c>
      <c r="P10" s="124"/>
      <c r="R10" s="124" t="s">
        <v>0</v>
      </c>
      <c r="S10" s="124"/>
      <c r="T10" s="124" t="s">
        <v>58</v>
      </c>
      <c r="U10" s="124"/>
      <c r="V10" s="121" t="s">
        <v>59</v>
      </c>
      <c r="W10" s="123"/>
      <c r="Z10" s="124" t="s">
        <v>0</v>
      </c>
      <c r="AA10" s="124"/>
      <c r="AB10" s="124" t="s">
        <v>83</v>
      </c>
      <c r="AC10" s="124"/>
    </row>
    <row r="11" spans="1:29">
      <c r="A11" s="32"/>
      <c r="B11" s="125" t="s">
        <v>244</v>
      </c>
      <c r="C11" s="125"/>
      <c r="D11" s="58">
        <v>1</v>
      </c>
      <c r="E11" s="128">
        <v>250</v>
      </c>
      <c r="F11" s="128"/>
      <c r="G11" s="130">
        <v>14.714</v>
      </c>
      <c r="H11" s="130"/>
      <c r="I11" s="126">
        <f t="shared" ref="I11:I17" si="0">D11*E11*G11</f>
        <v>3678.5</v>
      </c>
      <c r="J11" s="127"/>
      <c r="K11" s="130">
        <f t="shared" ref="K11:K17" si="1">7*I11</f>
        <v>25749.5</v>
      </c>
      <c r="L11" s="130"/>
      <c r="O11" s="130">
        <f t="shared" ref="O11:O17" si="2">I11/14</f>
        <v>262.75</v>
      </c>
      <c r="P11" s="130"/>
      <c r="R11" s="125" t="s">
        <v>244</v>
      </c>
      <c r="S11" s="125"/>
      <c r="T11" s="126">
        <f t="shared" ref="T11:T17" si="3">I11</f>
        <v>3678.5</v>
      </c>
      <c r="U11" s="127"/>
      <c r="V11" s="130">
        <f>7*T11</f>
        <v>25749.5</v>
      </c>
      <c r="W11" s="130"/>
      <c r="Z11" s="125" t="s">
        <v>244</v>
      </c>
      <c r="AA11" s="125"/>
      <c r="AB11" s="130">
        <f>O21</f>
        <v>250</v>
      </c>
      <c r="AC11" s="130"/>
    </row>
    <row r="12" spans="1:29">
      <c r="A12" s="32"/>
      <c r="B12" s="125" t="s">
        <v>5</v>
      </c>
      <c r="C12" s="125"/>
      <c r="D12" s="58">
        <v>1</v>
      </c>
      <c r="E12" s="128">
        <v>100</v>
      </c>
      <c r="F12" s="128"/>
      <c r="G12" s="130">
        <v>14.714</v>
      </c>
      <c r="H12" s="130"/>
      <c r="I12" s="126">
        <f t="shared" si="0"/>
        <v>1471.4</v>
      </c>
      <c r="J12" s="127"/>
      <c r="K12" s="130">
        <f t="shared" si="1"/>
        <v>10299.800000000001</v>
      </c>
      <c r="L12" s="130"/>
      <c r="O12" s="130">
        <f t="shared" si="2"/>
        <v>105.10000000000001</v>
      </c>
      <c r="P12" s="130"/>
      <c r="R12" s="125" t="s">
        <v>5</v>
      </c>
      <c r="S12" s="125"/>
      <c r="T12" s="126">
        <f t="shared" si="3"/>
        <v>1471.4</v>
      </c>
      <c r="U12" s="127"/>
      <c r="V12" s="130">
        <f t="shared" ref="V12:V17" si="4">7*T12</f>
        <v>10299.800000000001</v>
      </c>
      <c r="W12" s="130"/>
      <c r="Z12" s="125" t="s">
        <v>5</v>
      </c>
      <c r="AA12" s="125"/>
      <c r="AB12" s="130">
        <f t="shared" ref="AB12:AB17" si="5">O22</f>
        <v>100</v>
      </c>
      <c r="AC12" s="130"/>
    </row>
    <row r="13" spans="1:29">
      <c r="A13" s="32"/>
      <c r="B13" s="125" t="s">
        <v>8</v>
      </c>
      <c r="C13" s="125"/>
      <c r="D13" s="58">
        <v>1</v>
      </c>
      <c r="E13" s="128">
        <v>50</v>
      </c>
      <c r="F13" s="128"/>
      <c r="G13" s="130">
        <v>14.714</v>
      </c>
      <c r="H13" s="130"/>
      <c r="I13" s="126">
        <f t="shared" si="0"/>
        <v>735.7</v>
      </c>
      <c r="J13" s="127"/>
      <c r="K13" s="130">
        <f t="shared" si="1"/>
        <v>5149.9000000000005</v>
      </c>
      <c r="L13" s="130"/>
      <c r="O13" s="130">
        <f t="shared" si="2"/>
        <v>52.550000000000004</v>
      </c>
      <c r="P13" s="130"/>
      <c r="R13" s="125" t="s">
        <v>8</v>
      </c>
      <c r="S13" s="125"/>
      <c r="T13" s="126">
        <f t="shared" si="3"/>
        <v>735.7</v>
      </c>
      <c r="U13" s="127"/>
      <c r="V13" s="130">
        <f t="shared" si="4"/>
        <v>5149.9000000000005</v>
      </c>
      <c r="W13" s="130"/>
      <c r="X13" s="72"/>
      <c r="Z13" s="125" t="s">
        <v>8</v>
      </c>
      <c r="AA13" s="125"/>
      <c r="AB13" s="130">
        <f t="shared" si="5"/>
        <v>50</v>
      </c>
      <c r="AC13" s="130"/>
    </row>
    <row r="14" spans="1:29">
      <c r="A14" s="32"/>
      <c r="B14" s="125" t="s">
        <v>241</v>
      </c>
      <c r="C14" s="125"/>
      <c r="D14" s="58">
        <v>1</v>
      </c>
      <c r="E14" s="128">
        <v>500</v>
      </c>
      <c r="F14" s="128"/>
      <c r="G14" s="130">
        <v>14.714</v>
      </c>
      <c r="H14" s="130"/>
      <c r="I14" s="126">
        <f t="shared" si="0"/>
        <v>7357</v>
      </c>
      <c r="J14" s="127"/>
      <c r="K14" s="130">
        <f t="shared" si="1"/>
        <v>51499</v>
      </c>
      <c r="L14" s="130"/>
      <c r="O14" s="130">
        <f t="shared" si="2"/>
        <v>525.5</v>
      </c>
      <c r="P14" s="130"/>
      <c r="R14" s="125" t="s">
        <v>241</v>
      </c>
      <c r="S14" s="125"/>
      <c r="T14" s="126">
        <f t="shared" si="3"/>
        <v>7357</v>
      </c>
      <c r="U14" s="127"/>
      <c r="V14" s="130">
        <f t="shared" si="4"/>
        <v>51499</v>
      </c>
      <c r="W14" s="130"/>
      <c r="X14" s="66"/>
      <c r="Z14" s="125" t="s">
        <v>241</v>
      </c>
      <c r="AA14" s="125"/>
      <c r="AB14" s="130">
        <f t="shared" si="5"/>
        <v>500</v>
      </c>
      <c r="AC14" s="130"/>
    </row>
    <row r="15" spans="1:29">
      <c r="A15" s="32"/>
      <c r="B15" s="125" t="s">
        <v>243</v>
      </c>
      <c r="C15" s="125"/>
      <c r="D15" s="58">
        <v>1</v>
      </c>
      <c r="E15" s="128">
        <v>400</v>
      </c>
      <c r="F15" s="128"/>
      <c r="G15" s="130">
        <v>14.714</v>
      </c>
      <c r="H15" s="130"/>
      <c r="I15" s="126">
        <f t="shared" si="0"/>
        <v>5885.6</v>
      </c>
      <c r="J15" s="127"/>
      <c r="K15" s="130">
        <f t="shared" si="1"/>
        <v>41199.200000000004</v>
      </c>
      <c r="L15" s="130"/>
      <c r="O15" s="130">
        <f t="shared" si="2"/>
        <v>420.40000000000003</v>
      </c>
      <c r="P15" s="130"/>
      <c r="R15" s="125" t="s">
        <v>243</v>
      </c>
      <c r="S15" s="125"/>
      <c r="T15" s="126">
        <f t="shared" si="3"/>
        <v>5885.6</v>
      </c>
      <c r="U15" s="127"/>
      <c r="V15" s="130">
        <f t="shared" si="4"/>
        <v>41199.200000000004</v>
      </c>
      <c r="W15" s="130"/>
      <c r="X15" s="73"/>
      <c r="Z15" s="125" t="s">
        <v>243</v>
      </c>
      <c r="AA15" s="125"/>
      <c r="AB15" s="130">
        <f t="shared" si="5"/>
        <v>400</v>
      </c>
      <c r="AC15" s="130"/>
    </row>
    <row r="16" spans="1:29">
      <c r="A16" s="32"/>
      <c r="B16" s="125" t="s">
        <v>242</v>
      </c>
      <c r="C16" s="125"/>
      <c r="D16" s="58">
        <v>9</v>
      </c>
      <c r="E16" s="128">
        <v>220</v>
      </c>
      <c r="F16" s="128"/>
      <c r="G16" s="130">
        <v>14.714</v>
      </c>
      <c r="H16" s="130"/>
      <c r="I16" s="126">
        <f t="shared" si="0"/>
        <v>29133.72</v>
      </c>
      <c r="J16" s="127"/>
      <c r="K16" s="130">
        <f t="shared" si="1"/>
        <v>203936.04</v>
      </c>
      <c r="L16" s="130"/>
      <c r="O16" s="130">
        <f t="shared" si="2"/>
        <v>2080.98</v>
      </c>
      <c r="P16" s="130"/>
      <c r="R16" s="125" t="s">
        <v>242</v>
      </c>
      <c r="S16" s="125"/>
      <c r="T16" s="126">
        <f t="shared" si="3"/>
        <v>29133.72</v>
      </c>
      <c r="U16" s="127"/>
      <c r="V16" s="130">
        <f t="shared" si="4"/>
        <v>203936.04</v>
      </c>
      <c r="W16" s="130"/>
      <c r="Z16" s="125" t="s">
        <v>242</v>
      </c>
      <c r="AA16" s="125"/>
      <c r="AB16" s="130">
        <f t="shared" si="5"/>
        <v>1980</v>
      </c>
      <c r="AC16" s="130"/>
    </row>
    <row r="17" spans="1:31">
      <c r="A17" s="32"/>
      <c r="B17" s="125" t="s">
        <v>15</v>
      </c>
      <c r="C17" s="125"/>
      <c r="D17" s="58">
        <v>56</v>
      </c>
      <c r="E17" s="128">
        <v>41</v>
      </c>
      <c r="F17" s="128"/>
      <c r="G17" s="130">
        <v>14.714</v>
      </c>
      <c r="H17" s="130"/>
      <c r="I17" s="126">
        <f t="shared" si="0"/>
        <v>33783.343999999997</v>
      </c>
      <c r="J17" s="127"/>
      <c r="K17" s="130">
        <f t="shared" si="1"/>
        <v>236483.408</v>
      </c>
      <c r="L17" s="130"/>
      <c r="O17" s="130">
        <f t="shared" si="2"/>
        <v>2413.096</v>
      </c>
      <c r="P17" s="130"/>
      <c r="R17" s="125" t="s">
        <v>15</v>
      </c>
      <c r="S17" s="125"/>
      <c r="T17" s="126">
        <f t="shared" si="3"/>
        <v>33783.343999999997</v>
      </c>
      <c r="U17" s="127"/>
      <c r="V17" s="130">
        <f t="shared" si="4"/>
        <v>236483.408</v>
      </c>
      <c r="W17" s="130"/>
      <c r="Y17" s="32"/>
      <c r="Z17" s="125" t="s">
        <v>15</v>
      </c>
      <c r="AA17" s="125"/>
      <c r="AB17" s="130">
        <f t="shared" si="5"/>
        <v>2296</v>
      </c>
      <c r="AC17" s="130"/>
    </row>
    <row r="18" spans="1:31">
      <c r="A18" s="32"/>
      <c r="D18" s="31"/>
      <c r="E18" s="64"/>
      <c r="F18" s="15"/>
      <c r="G18" s="31"/>
      <c r="I18" s="124" t="s">
        <v>60</v>
      </c>
      <c r="J18" s="124"/>
      <c r="K18" s="131">
        <f>SUM(K11:L17)</f>
        <v>574316.848</v>
      </c>
      <c r="L18" s="124"/>
      <c r="N18" s="124" t="s">
        <v>84</v>
      </c>
      <c r="O18" s="124"/>
      <c r="P18" s="7">
        <f>SUM(O11:P17)</f>
        <v>5860.3760000000002</v>
      </c>
      <c r="R18" s="124" t="s">
        <v>304</v>
      </c>
      <c r="S18" s="124"/>
      <c r="T18" s="124"/>
      <c r="U18" s="124"/>
      <c r="V18" s="131">
        <f>SUM(V11:W17)</f>
        <v>574316.848</v>
      </c>
      <c r="W18" s="124"/>
      <c r="Y18" s="32"/>
      <c r="Z18" s="124" t="s">
        <v>322</v>
      </c>
      <c r="AA18" s="124"/>
      <c r="AB18" s="162">
        <f>SUM(AB11:AC17)</f>
        <v>5576</v>
      </c>
      <c r="AC18" s="163"/>
    </row>
    <row r="19" spans="1:31">
      <c r="A19" s="32"/>
      <c r="D19" s="31"/>
      <c r="E19" s="8"/>
      <c r="F19" s="6"/>
      <c r="G19" s="31"/>
      <c r="H19" s="32"/>
      <c r="I19" s="11"/>
      <c r="J19" s="11"/>
      <c r="K19" s="12"/>
      <c r="L19" s="11"/>
      <c r="M19" s="32"/>
      <c r="N19" s="11"/>
      <c r="O19" s="11"/>
      <c r="P19" s="66"/>
      <c r="Q19" s="32"/>
      <c r="R19" s="18"/>
      <c r="S19" s="63"/>
      <c r="T19" s="63"/>
      <c r="Y19" s="32"/>
    </row>
    <row r="20" spans="1:31" ht="15" customHeight="1">
      <c r="A20" s="164" t="s">
        <v>262</v>
      </c>
      <c r="B20" s="124" t="s">
        <v>0</v>
      </c>
      <c r="C20" s="124"/>
      <c r="D20" s="61" t="s">
        <v>1</v>
      </c>
      <c r="E20" s="124" t="s">
        <v>3</v>
      </c>
      <c r="F20" s="124"/>
      <c r="G20" s="124" t="s">
        <v>6</v>
      </c>
      <c r="H20" s="124"/>
      <c r="I20" s="124" t="s">
        <v>58</v>
      </c>
      <c r="J20" s="124"/>
      <c r="K20" s="121" t="s">
        <v>59</v>
      </c>
      <c r="L20" s="123"/>
      <c r="M20" s="32"/>
      <c r="N20" s="164" t="s">
        <v>267</v>
      </c>
      <c r="O20" s="124" t="s">
        <v>83</v>
      </c>
      <c r="P20" s="124"/>
      <c r="Q20" s="32"/>
      <c r="R20" s="120" t="s">
        <v>262</v>
      </c>
      <c r="S20" s="124" t="s">
        <v>0</v>
      </c>
      <c r="T20" s="124"/>
      <c r="U20" s="124" t="s">
        <v>58</v>
      </c>
      <c r="V20" s="124"/>
      <c r="W20" s="121" t="s">
        <v>59</v>
      </c>
      <c r="X20" s="123"/>
      <c r="Y20" s="32"/>
      <c r="Z20" s="40" t="s">
        <v>131</v>
      </c>
      <c r="AA20" s="41">
        <f>J6</f>
        <v>0.14000000000000001</v>
      </c>
    </row>
    <row r="21" spans="1:31">
      <c r="A21" s="165"/>
      <c r="B21" s="125" t="s">
        <v>244</v>
      </c>
      <c r="C21" s="125"/>
      <c r="D21" s="60">
        <v>1</v>
      </c>
      <c r="E21" s="128">
        <v>250</v>
      </c>
      <c r="F21" s="128"/>
      <c r="G21" s="130">
        <f>$G$4</f>
        <v>15</v>
      </c>
      <c r="H21" s="130"/>
      <c r="I21" s="126">
        <f t="shared" ref="I21:I27" si="6">D21*E21*G21</f>
        <v>3750</v>
      </c>
      <c r="J21" s="127"/>
      <c r="K21" s="130">
        <f>5*I21</f>
        <v>18750</v>
      </c>
      <c r="L21" s="130"/>
      <c r="M21" s="32"/>
      <c r="N21" s="165"/>
      <c r="O21" s="130">
        <f>I21/G21</f>
        <v>250</v>
      </c>
      <c r="P21" s="130"/>
      <c r="Q21" s="32"/>
      <c r="R21" s="120"/>
      <c r="S21" s="125" t="s">
        <v>244</v>
      </c>
      <c r="T21" s="125"/>
      <c r="U21" s="126">
        <f>I21</f>
        <v>3750</v>
      </c>
      <c r="V21" s="127"/>
      <c r="W21" s="130">
        <f>K21</f>
        <v>18750</v>
      </c>
      <c r="X21" s="130"/>
      <c r="Y21" s="32"/>
      <c r="Z21" s="158" t="s">
        <v>128</v>
      </c>
      <c r="AA21" s="158"/>
      <c r="AB21" s="158" t="s">
        <v>129</v>
      </c>
      <c r="AC21" s="158"/>
      <c r="AD21" s="158" t="s">
        <v>130</v>
      </c>
      <c r="AE21" s="158"/>
    </row>
    <row r="22" spans="1:31">
      <c r="A22" s="165"/>
      <c r="B22" s="125" t="s">
        <v>5</v>
      </c>
      <c r="C22" s="125"/>
      <c r="D22" s="60">
        <v>1</v>
      </c>
      <c r="E22" s="128">
        <v>100</v>
      </c>
      <c r="F22" s="128"/>
      <c r="G22" s="130">
        <f t="shared" ref="G22:G27" si="7">$G$4</f>
        <v>15</v>
      </c>
      <c r="H22" s="130"/>
      <c r="I22" s="126">
        <f t="shared" si="6"/>
        <v>1500</v>
      </c>
      <c r="J22" s="127"/>
      <c r="K22" s="130">
        <f t="shared" ref="K22:K27" si="8">5*I22</f>
        <v>7500</v>
      </c>
      <c r="L22" s="130"/>
      <c r="M22" s="32"/>
      <c r="N22" s="165"/>
      <c r="O22" s="130">
        <f t="shared" ref="O22:O27" si="9">I22/G22</f>
        <v>100</v>
      </c>
      <c r="P22" s="130"/>
      <c r="Q22" s="32"/>
      <c r="R22" s="120"/>
      <c r="S22" s="125" t="s">
        <v>5</v>
      </c>
      <c r="T22" s="125"/>
      <c r="U22" s="126">
        <f t="shared" ref="U22:U27" si="10">I22</f>
        <v>1500</v>
      </c>
      <c r="V22" s="127"/>
      <c r="W22" s="130">
        <f t="shared" ref="W22:W27" si="11">K22</f>
        <v>7500</v>
      </c>
      <c r="X22" s="130"/>
      <c r="Y22" s="32"/>
      <c r="Z22" s="137">
        <f>AB22/7</f>
        <v>82.046857142857135</v>
      </c>
      <c r="AA22" s="137"/>
      <c r="AB22" s="137">
        <f>P45*10^-3</f>
        <v>574.32799999999997</v>
      </c>
      <c r="AC22" s="137"/>
      <c r="AD22" s="137">
        <f>Z22*365</f>
        <v>29947.102857142854</v>
      </c>
      <c r="AE22" s="137"/>
    </row>
    <row r="23" spans="1:31">
      <c r="A23" s="165"/>
      <c r="B23" s="125" t="s">
        <v>8</v>
      </c>
      <c r="C23" s="125"/>
      <c r="D23" s="60">
        <v>1</v>
      </c>
      <c r="E23" s="128">
        <v>50</v>
      </c>
      <c r="F23" s="128"/>
      <c r="G23" s="130">
        <f t="shared" si="7"/>
        <v>15</v>
      </c>
      <c r="H23" s="130"/>
      <c r="I23" s="126">
        <f t="shared" si="6"/>
        <v>750</v>
      </c>
      <c r="J23" s="127"/>
      <c r="K23" s="130">
        <f t="shared" si="8"/>
        <v>3750</v>
      </c>
      <c r="L23" s="130"/>
      <c r="M23" s="32"/>
      <c r="N23" s="165"/>
      <c r="O23" s="130">
        <f t="shared" si="9"/>
        <v>50</v>
      </c>
      <c r="P23" s="130"/>
      <c r="Q23" s="32"/>
      <c r="R23" s="120"/>
      <c r="S23" s="125" t="s">
        <v>8</v>
      </c>
      <c r="T23" s="125"/>
      <c r="U23" s="126">
        <f t="shared" si="10"/>
        <v>750</v>
      </c>
      <c r="V23" s="127"/>
      <c r="W23" s="130">
        <f t="shared" si="11"/>
        <v>3750</v>
      </c>
      <c r="X23" s="130"/>
      <c r="Y23" s="32"/>
      <c r="Z23" s="159" t="s">
        <v>125</v>
      </c>
      <c r="AA23" s="159"/>
      <c r="AB23" s="159" t="s">
        <v>126</v>
      </c>
      <c r="AC23" s="159"/>
      <c r="AD23" s="159" t="s">
        <v>127</v>
      </c>
      <c r="AE23" s="159"/>
    </row>
    <row r="24" spans="1:31">
      <c r="A24" s="165"/>
      <c r="B24" s="125" t="s">
        <v>241</v>
      </c>
      <c r="C24" s="125"/>
      <c r="D24" s="60">
        <v>1</v>
      </c>
      <c r="E24" s="128">
        <v>500</v>
      </c>
      <c r="F24" s="128"/>
      <c r="G24" s="130">
        <f t="shared" si="7"/>
        <v>15</v>
      </c>
      <c r="H24" s="130"/>
      <c r="I24" s="126">
        <f t="shared" si="6"/>
        <v>7500</v>
      </c>
      <c r="J24" s="127"/>
      <c r="K24" s="130">
        <f t="shared" si="8"/>
        <v>37500</v>
      </c>
      <c r="L24" s="130"/>
      <c r="M24" s="32"/>
      <c r="N24" s="165"/>
      <c r="O24" s="130">
        <f t="shared" si="9"/>
        <v>500</v>
      </c>
      <c r="P24" s="130"/>
      <c r="Q24" s="32"/>
      <c r="R24" s="120"/>
      <c r="S24" s="125" t="s">
        <v>241</v>
      </c>
      <c r="T24" s="125"/>
      <c r="U24" s="126">
        <f t="shared" si="10"/>
        <v>7500</v>
      </c>
      <c r="V24" s="127"/>
      <c r="W24" s="130">
        <f t="shared" si="11"/>
        <v>37500</v>
      </c>
      <c r="X24" s="130"/>
      <c r="Y24" s="32"/>
      <c r="Z24" s="137">
        <f>Z22*AA20</f>
        <v>11.486560000000001</v>
      </c>
      <c r="AA24" s="137"/>
      <c r="AB24" s="137">
        <f>AB22*AA20</f>
        <v>80.405920000000009</v>
      </c>
      <c r="AC24" s="137"/>
      <c r="AD24" s="137">
        <f>AD22*AA20</f>
        <v>4192.5944</v>
      </c>
      <c r="AE24" s="137"/>
    </row>
    <row r="25" spans="1:31">
      <c r="A25" s="165"/>
      <c r="B25" s="125" t="s">
        <v>243</v>
      </c>
      <c r="C25" s="125"/>
      <c r="D25" s="60">
        <v>1</v>
      </c>
      <c r="E25" s="128">
        <v>400</v>
      </c>
      <c r="F25" s="128"/>
      <c r="G25" s="130">
        <f t="shared" si="7"/>
        <v>15</v>
      </c>
      <c r="H25" s="130"/>
      <c r="I25" s="126">
        <f t="shared" si="6"/>
        <v>6000</v>
      </c>
      <c r="J25" s="127"/>
      <c r="K25" s="130">
        <f t="shared" si="8"/>
        <v>30000</v>
      </c>
      <c r="L25" s="130"/>
      <c r="M25" s="32"/>
      <c r="N25" s="165"/>
      <c r="O25" s="130">
        <f t="shared" si="9"/>
        <v>400</v>
      </c>
      <c r="P25" s="130"/>
      <c r="Q25" s="32"/>
      <c r="R25" s="120"/>
      <c r="S25" s="125" t="s">
        <v>243</v>
      </c>
      <c r="T25" s="125"/>
      <c r="U25" s="126">
        <f t="shared" si="10"/>
        <v>6000</v>
      </c>
      <c r="V25" s="127"/>
      <c r="W25" s="130">
        <f t="shared" si="11"/>
        <v>30000</v>
      </c>
      <c r="X25" s="130"/>
      <c r="Y25" s="32"/>
      <c r="Z25" s="94"/>
      <c r="AA25" s="94"/>
      <c r="AB25" s="94"/>
      <c r="AC25" s="94"/>
      <c r="AD25" s="94"/>
      <c r="AE25" s="94"/>
    </row>
    <row r="26" spans="1:31">
      <c r="A26" s="165"/>
      <c r="B26" s="125" t="s">
        <v>242</v>
      </c>
      <c r="C26" s="125"/>
      <c r="D26" s="60">
        <v>9</v>
      </c>
      <c r="E26" s="128">
        <v>220</v>
      </c>
      <c r="F26" s="128"/>
      <c r="G26" s="130">
        <f t="shared" si="7"/>
        <v>15</v>
      </c>
      <c r="H26" s="130"/>
      <c r="I26" s="126">
        <f t="shared" si="6"/>
        <v>29700</v>
      </c>
      <c r="J26" s="127"/>
      <c r="K26" s="130">
        <f t="shared" si="8"/>
        <v>148500</v>
      </c>
      <c r="L26" s="130"/>
      <c r="M26" s="32"/>
      <c r="N26" s="165"/>
      <c r="O26" s="130">
        <f t="shared" si="9"/>
        <v>1980</v>
      </c>
      <c r="P26" s="130"/>
      <c r="Q26" s="32"/>
      <c r="R26" s="120"/>
      <c r="S26" s="125" t="s">
        <v>242</v>
      </c>
      <c r="T26" s="125"/>
      <c r="U26" s="126">
        <f t="shared" si="10"/>
        <v>29700</v>
      </c>
      <c r="V26" s="127"/>
      <c r="W26" s="130">
        <f t="shared" si="11"/>
        <v>148500</v>
      </c>
      <c r="X26" s="130"/>
      <c r="Y26" s="32"/>
      <c r="Z26" s="95" t="s">
        <v>131</v>
      </c>
      <c r="AA26" s="96">
        <f>J6</f>
        <v>0.14000000000000001</v>
      </c>
      <c r="AB26" s="94"/>
      <c r="AC26" s="94"/>
      <c r="AD26" s="94"/>
      <c r="AE26" s="94"/>
    </row>
    <row r="27" spans="1:31">
      <c r="A27" s="166"/>
      <c r="B27" s="125" t="s">
        <v>15</v>
      </c>
      <c r="C27" s="125"/>
      <c r="D27" s="60">
        <v>56</v>
      </c>
      <c r="E27" s="128">
        <v>41</v>
      </c>
      <c r="F27" s="128"/>
      <c r="G27" s="130">
        <f t="shared" si="7"/>
        <v>15</v>
      </c>
      <c r="H27" s="130"/>
      <c r="I27" s="126">
        <f t="shared" si="6"/>
        <v>34440</v>
      </c>
      <c r="J27" s="127"/>
      <c r="K27" s="130">
        <f t="shared" si="8"/>
        <v>172200</v>
      </c>
      <c r="L27" s="130"/>
      <c r="M27" s="32"/>
      <c r="N27" s="166"/>
      <c r="O27" s="130">
        <f t="shared" si="9"/>
        <v>2296</v>
      </c>
      <c r="P27" s="130"/>
      <c r="Q27" s="32"/>
      <c r="R27" s="120"/>
      <c r="S27" s="125" t="s">
        <v>15</v>
      </c>
      <c r="T27" s="125"/>
      <c r="U27" s="126">
        <f t="shared" si="10"/>
        <v>34440</v>
      </c>
      <c r="V27" s="127"/>
      <c r="W27" s="130">
        <f t="shared" si="11"/>
        <v>172200</v>
      </c>
      <c r="X27" s="130"/>
      <c r="Y27" s="32"/>
      <c r="Z27" s="160" t="s">
        <v>133</v>
      </c>
      <c r="AA27" s="160"/>
      <c r="AB27" s="160" t="s">
        <v>134</v>
      </c>
      <c r="AC27" s="160"/>
      <c r="AD27" s="160" t="s">
        <v>135</v>
      </c>
      <c r="AE27" s="160"/>
    </row>
    <row r="28" spans="1:31">
      <c r="A28" s="32"/>
      <c r="D28" s="31"/>
      <c r="E28" s="64"/>
      <c r="F28" s="15"/>
      <c r="G28" s="31"/>
      <c r="I28" s="124" t="s">
        <v>60</v>
      </c>
      <c r="J28" s="124"/>
      <c r="K28" s="131">
        <f>SUM(K21:L27)</f>
        <v>418200</v>
      </c>
      <c r="L28" s="124"/>
      <c r="M28" s="32"/>
      <c r="N28" s="124" t="s">
        <v>84</v>
      </c>
      <c r="O28" s="124"/>
      <c r="P28" s="7">
        <f>SUM(O21:P27)</f>
        <v>5576</v>
      </c>
      <c r="Q28" s="32"/>
      <c r="R28" s="120"/>
      <c r="S28" s="124" t="s">
        <v>306</v>
      </c>
      <c r="T28" s="124"/>
      <c r="U28" s="124"/>
      <c r="V28" s="124"/>
      <c r="W28" s="131">
        <f>SUM(W21:X27)</f>
        <v>418200</v>
      </c>
      <c r="X28" s="124"/>
      <c r="Y28" s="32"/>
      <c r="Z28" s="137">
        <f>AB28/7</f>
        <v>209.62857142857143</v>
      </c>
      <c r="AA28" s="137"/>
      <c r="AB28" s="137">
        <f>(P44+FOTOVOLTAICA!AJ100*10^3)*10^-3</f>
        <v>1467.4</v>
      </c>
      <c r="AC28" s="137"/>
      <c r="AD28" s="137">
        <f>Z28*365</f>
        <v>76514.42857142858</v>
      </c>
      <c r="AE28" s="137"/>
    </row>
    <row r="29" spans="1:31">
      <c r="A29" s="32"/>
      <c r="B29" s="32"/>
      <c r="C29" s="32"/>
      <c r="D29" s="69"/>
      <c r="E29" s="70"/>
      <c r="F29" s="71"/>
      <c r="G29" s="69"/>
      <c r="H29" s="32"/>
      <c r="I29" s="11"/>
      <c r="J29" s="11"/>
      <c r="K29" s="12"/>
      <c r="L29" s="11"/>
      <c r="M29" s="32"/>
      <c r="N29" s="11"/>
      <c r="O29" s="11"/>
      <c r="P29" s="66"/>
      <c r="Q29" s="32"/>
      <c r="R29" s="12"/>
      <c r="S29" s="11"/>
      <c r="T29" s="11"/>
      <c r="U29" s="32"/>
      <c r="V29" s="32"/>
      <c r="W29" s="32"/>
      <c r="X29" s="32"/>
      <c r="Y29" s="32"/>
      <c r="Z29" s="160" t="s">
        <v>136</v>
      </c>
      <c r="AA29" s="160"/>
      <c r="AB29" s="160" t="s">
        <v>137</v>
      </c>
      <c r="AC29" s="160"/>
      <c r="AD29" s="160" t="s">
        <v>138</v>
      </c>
      <c r="AE29" s="160"/>
    </row>
    <row r="30" spans="1:31" ht="15" customHeight="1">
      <c r="A30" s="164" t="s">
        <v>266</v>
      </c>
      <c r="B30" s="124" t="s">
        <v>0</v>
      </c>
      <c r="C30" s="124"/>
      <c r="D30" s="61" t="s">
        <v>1</v>
      </c>
      <c r="E30" s="124" t="s">
        <v>3</v>
      </c>
      <c r="F30" s="124"/>
      <c r="G30" s="124" t="s">
        <v>6</v>
      </c>
      <c r="H30" s="124"/>
      <c r="I30" s="124" t="s">
        <v>58</v>
      </c>
      <c r="J30" s="124"/>
      <c r="K30" s="121" t="s">
        <v>59</v>
      </c>
      <c r="L30" s="123"/>
      <c r="M30" s="32"/>
      <c r="N30" s="164" t="s">
        <v>266</v>
      </c>
      <c r="O30" s="124" t="s">
        <v>83</v>
      </c>
      <c r="P30" s="124"/>
      <c r="Q30" s="32"/>
      <c r="R30" s="120" t="s">
        <v>266</v>
      </c>
      <c r="S30" s="124" t="s">
        <v>0</v>
      </c>
      <c r="T30" s="124"/>
      <c r="U30" s="124" t="s">
        <v>58</v>
      </c>
      <c r="V30" s="124"/>
      <c r="W30" s="121" t="s">
        <v>59</v>
      </c>
      <c r="X30" s="123"/>
      <c r="Y30" s="32"/>
      <c r="Z30" s="137">
        <f>Z28*AA26</f>
        <v>29.348000000000003</v>
      </c>
      <c r="AA30" s="137"/>
      <c r="AB30" s="137">
        <f>Z30*7</f>
        <v>205.43600000000001</v>
      </c>
      <c r="AC30" s="137"/>
      <c r="AD30" s="137">
        <f>Z30*365</f>
        <v>10712.02</v>
      </c>
      <c r="AE30" s="137"/>
    </row>
    <row r="31" spans="1:31">
      <c r="A31" s="165"/>
      <c r="B31" s="125" t="s">
        <v>244</v>
      </c>
      <c r="C31" s="125"/>
      <c r="D31" s="60">
        <v>1</v>
      </c>
      <c r="E31" s="128">
        <v>250</v>
      </c>
      <c r="F31" s="128"/>
      <c r="G31" s="130">
        <f>$G$5</f>
        <v>14</v>
      </c>
      <c r="H31" s="130"/>
      <c r="I31" s="126">
        <f t="shared" ref="I31:I37" si="12">D31*E31*G31</f>
        <v>3500</v>
      </c>
      <c r="J31" s="127"/>
      <c r="K31" s="130">
        <f>2*I31</f>
        <v>7000</v>
      </c>
      <c r="L31" s="130"/>
      <c r="M31" s="32"/>
      <c r="N31" s="165"/>
      <c r="O31" s="130">
        <f>I31/G31</f>
        <v>250</v>
      </c>
      <c r="P31" s="130"/>
      <c r="Q31" s="32"/>
      <c r="R31" s="120"/>
      <c r="S31" s="125" t="s">
        <v>244</v>
      </c>
      <c r="T31" s="125"/>
      <c r="U31" s="126">
        <f>I31</f>
        <v>3500</v>
      </c>
      <c r="V31" s="127"/>
      <c r="W31" s="130">
        <f>K31</f>
        <v>7000</v>
      </c>
      <c r="X31" s="130"/>
      <c r="Y31" s="32"/>
      <c r="Z31" s="94"/>
      <c r="AA31" s="94"/>
      <c r="AB31" s="94"/>
      <c r="AC31" s="94"/>
      <c r="AD31" s="94"/>
      <c r="AE31" s="94"/>
    </row>
    <row r="32" spans="1:31">
      <c r="A32" s="165"/>
      <c r="B32" s="125" t="s">
        <v>5</v>
      </c>
      <c r="C32" s="125"/>
      <c r="D32" s="60">
        <v>1</v>
      </c>
      <c r="E32" s="128">
        <v>100</v>
      </c>
      <c r="F32" s="128"/>
      <c r="G32" s="130">
        <f t="shared" ref="G32:G37" si="13">$G$5</f>
        <v>14</v>
      </c>
      <c r="H32" s="130"/>
      <c r="I32" s="126">
        <f t="shared" si="12"/>
        <v>1400</v>
      </c>
      <c r="J32" s="127"/>
      <c r="K32" s="130">
        <f t="shared" ref="K32:K37" si="14">2*I32</f>
        <v>2800</v>
      </c>
      <c r="L32" s="130"/>
      <c r="M32" s="32"/>
      <c r="N32" s="165"/>
      <c r="O32" s="130">
        <f t="shared" ref="O32:O37" si="15">I32/G32</f>
        <v>100</v>
      </c>
      <c r="P32" s="130"/>
      <c r="Q32" s="32"/>
      <c r="R32" s="120"/>
      <c r="S32" s="125" t="s">
        <v>5</v>
      </c>
      <c r="T32" s="125"/>
      <c r="U32" s="126">
        <f t="shared" ref="U32:U37" si="16">I32</f>
        <v>1400</v>
      </c>
      <c r="V32" s="127"/>
      <c r="W32" s="130">
        <f t="shared" ref="W32:W37" si="17">K32</f>
        <v>2800</v>
      </c>
      <c r="X32" s="130"/>
      <c r="Y32" s="32"/>
      <c r="Z32" s="95" t="s">
        <v>131</v>
      </c>
      <c r="AA32" s="96">
        <f>AA26</f>
        <v>0.14000000000000001</v>
      </c>
      <c r="AB32" s="94"/>
      <c r="AC32" s="94"/>
      <c r="AD32" s="94"/>
      <c r="AE32" s="94"/>
    </row>
    <row r="33" spans="1:31">
      <c r="A33" s="165"/>
      <c r="B33" s="125" t="s">
        <v>8</v>
      </c>
      <c r="C33" s="125"/>
      <c r="D33" s="60">
        <v>1</v>
      </c>
      <c r="E33" s="128">
        <v>50</v>
      </c>
      <c r="F33" s="128"/>
      <c r="G33" s="130">
        <f t="shared" si="13"/>
        <v>14</v>
      </c>
      <c r="H33" s="130"/>
      <c r="I33" s="126">
        <f t="shared" si="12"/>
        <v>700</v>
      </c>
      <c r="J33" s="127"/>
      <c r="K33" s="130">
        <f t="shared" si="14"/>
        <v>1400</v>
      </c>
      <c r="L33" s="130"/>
      <c r="M33" s="32"/>
      <c r="N33" s="165"/>
      <c r="O33" s="130">
        <f t="shared" si="15"/>
        <v>50</v>
      </c>
      <c r="P33" s="130"/>
      <c r="Q33" s="32"/>
      <c r="R33" s="120"/>
      <c r="S33" s="125" t="s">
        <v>8</v>
      </c>
      <c r="T33" s="125"/>
      <c r="U33" s="126">
        <f t="shared" si="16"/>
        <v>700</v>
      </c>
      <c r="V33" s="127"/>
      <c r="W33" s="130">
        <f t="shared" si="17"/>
        <v>1400</v>
      </c>
      <c r="X33" s="130"/>
      <c r="Y33" s="32"/>
      <c r="Z33" s="161" t="s">
        <v>139</v>
      </c>
      <c r="AA33" s="161"/>
      <c r="AB33" s="161" t="s">
        <v>140</v>
      </c>
      <c r="AC33" s="161"/>
      <c r="AD33" s="161" t="s">
        <v>141</v>
      </c>
      <c r="AE33" s="161"/>
    </row>
    <row r="34" spans="1:31">
      <c r="A34" s="165"/>
      <c r="B34" s="125" t="s">
        <v>241</v>
      </c>
      <c r="C34" s="125"/>
      <c r="D34" s="60">
        <v>1</v>
      </c>
      <c r="E34" s="128">
        <v>500</v>
      </c>
      <c r="F34" s="128"/>
      <c r="G34" s="130">
        <f t="shared" si="13"/>
        <v>14</v>
      </c>
      <c r="H34" s="130"/>
      <c r="I34" s="126">
        <f t="shared" si="12"/>
        <v>7000</v>
      </c>
      <c r="J34" s="127"/>
      <c r="K34" s="130">
        <f t="shared" si="14"/>
        <v>14000</v>
      </c>
      <c r="L34" s="130"/>
      <c r="M34" s="32"/>
      <c r="N34" s="165"/>
      <c r="O34" s="130">
        <f t="shared" si="15"/>
        <v>500</v>
      </c>
      <c r="P34" s="130"/>
      <c r="Q34" s="32"/>
      <c r="R34" s="120"/>
      <c r="S34" s="125" t="s">
        <v>241</v>
      </c>
      <c r="T34" s="125"/>
      <c r="U34" s="126">
        <f t="shared" si="16"/>
        <v>7000</v>
      </c>
      <c r="V34" s="127"/>
      <c r="W34" s="130">
        <f t="shared" si="17"/>
        <v>14000</v>
      </c>
      <c r="X34" s="130"/>
      <c r="Y34" s="32"/>
      <c r="Z34" s="137">
        <f>Z28-Z22</f>
        <v>127.5817142857143</v>
      </c>
      <c r="AA34" s="137"/>
      <c r="AB34" s="137">
        <f t="shared" ref="AB34" si="18">AB28-AB22</f>
        <v>893.07200000000012</v>
      </c>
      <c r="AC34" s="137"/>
      <c r="AD34" s="137">
        <f t="shared" ref="AD34" si="19">AD28-AD22</f>
        <v>46567.325714285726</v>
      </c>
      <c r="AE34" s="137"/>
    </row>
    <row r="35" spans="1:31">
      <c r="A35" s="165"/>
      <c r="B35" s="125" t="s">
        <v>243</v>
      </c>
      <c r="C35" s="125"/>
      <c r="D35" s="60">
        <v>1</v>
      </c>
      <c r="E35" s="128">
        <v>400</v>
      </c>
      <c r="F35" s="128"/>
      <c r="G35" s="130">
        <f t="shared" si="13"/>
        <v>14</v>
      </c>
      <c r="H35" s="130"/>
      <c r="I35" s="126">
        <f t="shared" si="12"/>
        <v>5600</v>
      </c>
      <c r="J35" s="127"/>
      <c r="K35" s="130">
        <f t="shared" si="14"/>
        <v>11200</v>
      </c>
      <c r="L35" s="130"/>
      <c r="M35" s="32"/>
      <c r="N35" s="165"/>
      <c r="O35" s="130">
        <f t="shared" si="15"/>
        <v>400</v>
      </c>
      <c r="P35" s="130"/>
      <c r="Q35" s="32"/>
      <c r="R35" s="120"/>
      <c r="S35" s="125" t="s">
        <v>243</v>
      </c>
      <c r="T35" s="125"/>
      <c r="U35" s="126">
        <f t="shared" si="16"/>
        <v>5600</v>
      </c>
      <c r="V35" s="127"/>
      <c r="W35" s="130">
        <f t="shared" si="17"/>
        <v>11200</v>
      </c>
      <c r="X35" s="130"/>
      <c r="Y35" s="32"/>
      <c r="Z35" s="161" t="s">
        <v>142</v>
      </c>
      <c r="AA35" s="161"/>
      <c r="AB35" s="161" t="s">
        <v>143</v>
      </c>
      <c r="AC35" s="161"/>
      <c r="AD35" s="161" t="s">
        <v>187</v>
      </c>
      <c r="AE35" s="161"/>
    </row>
    <row r="36" spans="1:31">
      <c r="A36" s="165"/>
      <c r="B36" s="125" t="s">
        <v>242</v>
      </c>
      <c r="C36" s="125"/>
      <c r="D36" s="60">
        <v>9</v>
      </c>
      <c r="E36" s="128">
        <v>220</v>
      </c>
      <c r="F36" s="128"/>
      <c r="G36" s="130">
        <f t="shared" si="13"/>
        <v>14</v>
      </c>
      <c r="H36" s="130"/>
      <c r="I36" s="126">
        <f t="shared" si="12"/>
        <v>27720</v>
      </c>
      <c r="J36" s="127"/>
      <c r="K36" s="130">
        <f t="shared" si="14"/>
        <v>55440</v>
      </c>
      <c r="L36" s="130"/>
      <c r="M36" s="32"/>
      <c r="N36" s="165"/>
      <c r="O36" s="130">
        <f t="shared" si="15"/>
        <v>1980</v>
      </c>
      <c r="P36" s="130"/>
      <c r="Q36" s="32"/>
      <c r="R36" s="120"/>
      <c r="S36" s="125" t="s">
        <v>242</v>
      </c>
      <c r="T36" s="125"/>
      <c r="U36" s="126">
        <f t="shared" si="16"/>
        <v>27720</v>
      </c>
      <c r="V36" s="127"/>
      <c r="W36" s="130">
        <f t="shared" si="17"/>
        <v>55440</v>
      </c>
      <c r="X36" s="130"/>
      <c r="Y36" s="32"/>
      <c r="Z36" s="137">
        <f>Z30-Z24</f>
        <v>17.861440000000002</v>
      </c>
      <c r="AA36" s="137"/>
      <c r="AB36" s="137">
        <f>Z36*7</f>
        <v>125.03008000000001</v>
      </c>
      <c r="AC36" s="137"/>
      <c r="AD36" s="137">
        <f>Z36*365</f>
        <v>6519.4256000000005</v>
      </c>
      <c r="AE36" s="137"/>
    </row>
    <row r="37" spans="1:31">
      <c r="A37" s="166"/>
      <c r="B37" s="125" t="s">
        <v>15</v>
      </c>
      <c r="C37" s="125"/>
      <c r="D37" s="60">
        <v>56</v>
      </c>
      <c r="E37" s="128">
        <v>41</v>
      </c>
      <c r="F37" s="128"/>
      <c r="G37" s="130">
        <f t="shared" si="13"/>
        <v>14</v>
      </c>
      <c r="H37" s="130"/>
      <c r="I37" s="126">
        <f t="shared" si="12"/>
        <v>32144</v>
      </c>
      <c r="J37" s="127"/>
      <c r="K37" s="130">
        <f t="shared" si="14"/>
        <v>64288</v>
      </c>
      <c r="L37" s="130"/>
      <c r="M37" s="32"/>
      <c r="N37" s="166"/>
      <c r="O37" s="130">
        <f t="shared" si="15"/>
        <v>2296</v>
      </c>
      <c r="P37" s="130"/>
      <c r="Q37" s="32"/>
      <c r="R37" s="120"/>
      <c r="S37" s="125" t="s">
        <v>15</v>
      </c>
      <c r="T37" s="125"/>
      <c r="U37" s="126">
        <f t="shared" si="16"/>
        <v>32144</v>
      </c>
      <c r="V37" s="127"/>
      <c r="W37" s="130">
        <f t="shared" si="17"/>
        <v>64288</v>
      </c>
      <c r="X37" s="130"/>
      <c r="Y37" s="32"/>
    </row>
    <row r="38" spans="1:31">
      <c r="D38" s="31"/>
      <c r="E38" s="64"/>
      <c r="F38" s="15"/>
      <c r="G38" s="31"/>
      <c r="I38" s="124" t="s">
        <v>60</v>
      </c>
      <c r="J38" s="124"/>
      <c r="K38" s="131">
        <f>SUM(K31:L37)</f>
        <v>156128</v>
      </c>
      <c r="L38" s="124"/>
      <c r="M38" s="32"/>
      <c r="N38" s="124" t="s">
        <v>84</v>
      </c>
      <c r="O38" s="124"/>
      <c r="P38" s="7">
        <f>SUM(O31:P37)</f>
        <v>5576</v>
      </c>
      <c r="Q38" s="32"/>
      <c r="R38" s="120"/>
      <c r="S38" s="124" t="s">
        <v>305</v>
      </c>
      <c r="T38" s="124"/>
      <c r="U38" s="124"/>
      <c r="V38" s="124"/>
      <c r="W38" s="131">
        <f>SUM(W31:X37)</f>
        <v>156128</v>
      </c>
      <c r="X38" s="124"/>
      <c r="Y38" s="32"/>
      <c r="Z38" s="32"/>
    </row>
    <row r="39" spans="1:31">
      <c r="Y39" s="32"/>
      <c r="Z39" s="32"/>
    </row>
    <row r="40" spans="1:31">
      <c r="L40" s="77"/>
      <c r="N40" s="77"/>
      <c r="P40" s="77"/>
      <c r="Y40" s="32"/>
      <c r="Z40" s="32"/>
      <c r="AA40" s="153" t="s">
        <v>270</v>
      </c>
      <c r="AB40" s="153"/>
      <c r="AC40" s="24">
        <f>(J6*(P44+FOTOVOLTAICA!AJ100*10^3))*10^-3</f>
        <v>205.43600000000004</v>
      </c>
      <c r="AD40" s="39" t="s">
        <v>90</v>
      </c>
    </row>
    <row r="41" spans="1:31">
      <c r="Z41" s="32"/>
      <c r="AA41" s="154" t="s">
        <v>271</v>
      </c>
      <c r="AB41" s="154"/>
      <c r="AC41" s="25">
        <f>(P45*J6)*10^-3</f>
        <v>80.405920000000009</v>
      </c>
      <c r="AD41" s="39" t="s">
        <v>90</v>
      </c>
    </row>
    <row r="42" spans="1:31">
      <c r="Z42" s="32"/>
      <c r="AA42" s="155" t="s">
        <v>311</v>
      </c>
      <c r="AB42" s="155"/>
      <c r="AC42" s="25">
        <f>AC40-AC41</f>
        <v>125.03008000000003</v>
      </c>
      <c r="AD42" s="39" t="s">
        <v>90</v>
      </c>
    </row>
    <row r="43" spans="1:31">
      <c r="B43" s="142" t="s">
        <v>49</v>
      </c>
      <c r="C43" s="142"/>
      <c r="M43" s="142" t="s">
        <v>57</v>
      </c>
      <c r="N43" s="142"/>
      <c r="Z43" s="32"/>
      <c r="AA43" s="22"/>
      <c r="AB43" s="22"/>
      <c r="AC43" s="22"/>
      <c r="AD43" s="22"/>
    </row>
    <row r="44" spans="1:31">
      <c r="A44" s="1" t="s">
        <v>80</v>
      </c>
      <c r="B44" s="138" t="s">
        <v>53</v>
      </c>
      <c r="C44" s="138"/>
      <c r="D44" s="138" t="s">
        <v>44</v>
      </c>
      <c r="E44" s="138"/>
      <c r="F44" s="139" t="s">
        <v>27</v>
      </c>
      <c r="G44" s="141"/>
      <c r="H44" s="138" t="s">
        <v>319</v>
      </c>
      <c r="I44" s="138"/>
      <c r="J44" s="56"/>
      <c r="K44" s="56" t="s">
        <v>85</v>
      </c>
      <c r="M44" s="138" t="s">
        <v>183</v>
      </c>
      <c r="N44" s="138"/>
      <c r="O44" s="138"/>
      <c r="P44" s="7">
        <f>(H60*5)+(H79*2)</f>
        <v>68400</v>
      </c>
      <c r="Z44" s="32"/>
      <c r="AA44" s="156" t="s">
        <v>310</v>
      </c>
      <c r="AB44" s="156"/>
      <c r="AC44" s="23">
        <f>AC42/7*365</f>
        <v>6519.4256000000023</v>
      </c>
      <c r="AD44" s="39" t="s">
        <v>92</v>
      </c>
    </row>
    <row r="45" spans="1:31">
      <c r="A45">
        <v>0.2</v>
      </c>
      <c r="B45" s="147" t="s">
        <v>28</v>
      </c>
      <c r="C45" s="147"/>
      <c r="D45" s="137">
        <f>A45/0.03</f>
        <v>6.666666666666667</v>
      </c>
      <c r="E45" s="137"/>
      <c r="F45" s="143">
        <f>ROUNDUP(($K$3*D45)/100,0)</f>
        <v>1</v>
      </c>
      <c r="G45" s="144"/>
      <c r="H45" s="130">
        <f t="shared" ref="H45:H59" si="20">$K$4*F45</f>
        <v>150</v>
      </c>
      <c r="I45" s="130"/>
      <c r="J45" s="55">
        <f>$P$18</f>
        <v>5860.3760000000002</v>
      </c>
      <c r="K45" s="55">
        <f>H45-J45</f>
        <v>-5710.3760000000002</v>
      </c>
      <c r="M45" s="124" t="s">
        <v>185</v>
      </c>
      <c r="N45" s="124"/>
      <c r="O45" s="124"/>
      <c r="P45" s="7">
        <f>K28+K38</f>
        <v>574328</v>
      </c>
      <c r="Z45" s="32"/>
    </row>
    <row r="46" spans="1:31">
      <c r="A46">
        <v>0.5</v>
      </c>
      <c r="B46" s="147" t="s">
        <v>29</v>
      </c>
      <c r="C46" s="147"/>
      <c r="D46" s="137">
        <f t="shared" ref="D46:D59" si="21">A46/0.03</f>
        <v>16.666666666666668</v>
      </c>
      <c r="E46" s="137"/>
      <c r="F46" s="143">
        <f t="shared" ref="F46:F59" si="22">ROUNDUP(($K$3*D46)/100,0)</f>
        <v>3</v>
      </c>
      <c r="G46" s="144"/>
      <c r="H46" s="130">
        <f t="shared" si="20"/>
        <v>450</v>
      </c>
      <c r="I46" s="130"/>
      <c r="J46" s="55">
        <f t="shared" ref="J46:J59" si="23">$P$18</f>
        <v>5860.3760000000002</v>
      </c>
      <c r="K46" s="55">
        <f t="shared" ref="K46:K59" si="24">H46-J46</f>
        <v>-5410.3760000000002</v>
      </c>
      <c r="Z46" s="32"/>
    </row>
    <row r="47" spans="1:31">
      <c r="A47">
        <v>0.8</v>
      </c>
      <c r="B47" s="147" t="s">
        <v>30</v>
      </c>
      <c r="C47" s="147"/>
      <c r="D47" s="137">
        <f t="shared" si="21"/>
        <v>26.666666666666668</v>
      </c>
      <c r="E47" s="137"/>
      <c r="F47" s="143">
        <f t="shared" si="22"/>
        <v>4</v>
      </c>
      <c r="G47" s="144"/>
      <c r="H47" s="130">
        <f t="shared" si="20"/>
        <v>600</v>
      </c>
      <c r="I47" s="130"/>
      <c r="J47" s="55">
        <f t="shared" si="23"/>
        <v>5860.3760000000002</v>
      </c>
      <c r="K47" s="55">
        <f t="shared" si="24"/>
        <v>-5260.3760000000002</v>
      </c>
      <c r="Z47" s="32"/>
    </row>
    <row r="48" spans="1:31">
      <c r="A48">
        <v>1.1000000000000001</v>
      </c>
      <c r="B48" s="148" t="s">
        <v>31</v>
      </c>
      <c r="C48" s="147"/>
      <c r="D48" s="137">
        <f t="shared" si="21"/>
        <v>36.666666666666671</v>
      </c>
      <c r="E48" s="137"/>
      <c r="F48" s="143">
        <f t="shared" si="22"/>
        <v>6</v>
      </c>
      <c r="G48" s="144"/>
      <c r="H48" s="130">
        <f t="shared" si="20"/>
        <v>900</v>
      </c>
      <c r="I48" s="130"/>
      <c r="J48" s="55">
        <f t="shared" si="23"/>
        <v>5860.3760000000002</v>
      </c>
      <c r="K48" s="55">
        <f t="shared" si="24"/>
        <v>-4960.3760000000002</v>
      </c>
      <c r="Z48" s="32"/>
    </row>
    <row r="49" spans="1:26">
      <c r="A49">
        <v>0.9</v>
      </c>
      <c r="B49" s="147" t="s">
        <v>32</v>
      </c>
      <c r="C49" s="147"/>
      <c r="D49" s="137">
        <f t="shared" si="21"/>
        <v>30.000000000000004</v>
      </c>
      <c r="E49" s="137"/>
      <c r="F49" s="143">
        <f t="shared" si="22"/>
        <v>5</v>
      </c>
      <c r="G49" s="144"/>
      <c r="H49" s="130">
        <f t="shared" si="20"/>
        <v>750</v>
      </c>
      <c r="I49" s="130"/>
      <c r="J49" s="55">
        <f t="shared" si="23"/>
        <v>5860.3760000000002</v>
      </c>
      <c r="K49" s="55">
        <f t="shared" si="24"/>
        <v>-5110.3760000000002</v>
      </c>
      <c r="Z49" s="32"/>
    </row>
    <row r="50" spans="1:26">
      <c r="A50">
        <v>0.7</v>
      </c>
      <c r="B50" s="147" t="s">
        <v>33</v>
      </c>
      <c r="C50" s="147"/>
      <c r="D50" s="137">
        <f t="shared" si="21"/>
        <v>23.333333333333332</v>
      </c>
      <c r="E50" s="137"/>
      <c r="F50" s="143">
        <f t="shared" si="22"/>
        <v>4</v>
      </c>
      <c r="G50" s="144"/>
      <c r="H50" s="130">
        <f t="shared" si="20"/>
        <v>600</v>
      </c>
      <c r="I50" s="130"/>
      <c r="J50" s="55">
        <f t="shared" si="23"/>
        <v>5860.3760000000002</v>
      </c>
      <c r="K50" s="55">
        <f t="shared" si="24"/>
        <v>-5260.3760000000002</v>
      </c>
    </row>
    <row r="51" spans="1:26">
      <c r="A51">
        <v>0.4</v>
      </c>
      <c r="B51" s="147" t="s">
        <v>34</v>
      </c>
      <c r="C51" s="147"/>
      <c r="D51" s="137">
        <f t="shared" si="21"/>
        <v>13.333333333333334</v>
      </c>
      <c r="E51" s="137"/>
      <c r="F51" s="143">
        <f t="shared" si="22"/>
        <v>2</v>
      </c>
      <c r="G51" s="144"/>
      <c r="H51" s="130">
        <f t="shared" si="20"/>
        <v>300</v>
      </c>
      <c r="I51" s="130"/>
      <c r="J51" s="55">
        <f t="shared" si="23"/>
        <v>5860.3760000000002</v>
      </c>
      <c r="K51" s="55">
        <f t="shared" si="24"/>
        <v>-5560.3760000000002</v>
      </c>
    </row>
    <row r="52" spans="1:26">
      <c r="A52">
        <v>0.3</v>
      </c>
      <c r="B52" s="147" t="s">
        <v>35</v>
      </c>
      <c r="C52" s="147"/>
      <c r="D52" s="137">
        <f t="shared" si="21"/>
        <v>10</v>
      </c>
      <c r="E52" s="137"/>
      <c r="F52" s="143">
        <f t="shared" si="22"/>
        <v>2</v>
      </c>
      <c r="G52" s="144"/>
      <c r="H52" s="130">
        <f t="shared" si="20"/>
        <v>300</v>
      </c>
      <c r="I52" s="130"/>
      <c r="J52" s="55">
        <f t="shared" si="23"/>
        <v>5860.3760000000002</v>
      </c>
      <c r="K52" s="55">
        <f t="shared" si="24"/>
        <v>-5560.3760000000002</v>
      </c>
    </row>
    <row r="53" spans="1:26">
      <c r="A53">
        <v>0.3</v>
      </c>
      <c r="B53" s="147" t="s">
        <v>36</v>
      </c>
      <c r="C53" s="147"/>
      <c r="D53" s="137">
        <f t="shared" si="21"/>
        <v>10</v>
      </c>
      <c r="E53" s="137"/>
      <c r="F53" s="143">
        <f t="shared" si="22"/>
        <v>2</v>
      </c>
      <c r="G53" s="144"/>
      <c r="H53" s="130">
        <f t="shared" si="20"/>
        <v>300</v>
      </c>
      <c r="I53" s="130"/>
      <c r="J53" s="55">
        <f t="shared" si="23"/>
        <v>5860.3760000000002</v>
      </c>
      <c r="K53" s="55">
        <f t="shared" si="24"/>
        <v>-5560.3760000000002</v>
      </c>
    </row>
    <row r="54" spans="1:26">
      <c r="A54">
        <v>0.5</v>
      </c>
      <c r="B54" s="147" t="s">
        <v>37</v>
      </c>
      <c r="C54" s="147"/>
      <c r="D54" s="137">
        <f t="shared" si="21"/>
        <v>16.666666666666668</v>
      </c>
      <c r="E54" s="137"/>
      <c r="F54" s="143">
        <f t="shared" si="22"/>
        <v>3</v>
      </c>
      <c r="G54" s="144"/>
      <c r="H54" s="130">
        <f t="shared" si="20"/>
        <v>450</v>
      </c>
      <c r="I54" s="130"/>
      <c r="J54" s="55">
        <f t="shared" si="23"/>
        <v>5860.3760000000002</v>
      </c>
      <c r="K54" s="55">
        <f t="shared" si="24"/>
        <v>-5410.3760000000002</v>
      </c>
    </row>
    <row r="55" spans="1:26">
      <c r="A55">
        <v>1.2</v>
      </c>
      <c r="B55" s="147" t="s">
        <v>38</v>
      </c>
      <c r="C55" s="147"/>
      <c r="D55" s="137">
        <f t="shared" si="21"/>
        <v>40</v>
      </c>
      <c r="E55" s="137"/>
      <c r="F55" s="143">
        <f t="shared" si="22"/>
        <v>6</v>
      </c>
      <c r="G55" s="144"/>
      <c r="H55" s="130">
        <f t="shared" si="20"/>
        <v>900</v>
      </c>
      <c r="I55" s="130"/>
      <c r="J55" s="55">
        <f t="shared" si="23"/>
        <v>5860.3760000000002</v>
      </c>
      <c r="K55" s="55">
        <f t="shared" si="24"/>
        <v>-4960.3760000000002</v>
      </c>
    </row>
    <row r="56" spans="1:26">
      <c r="A56">
        <v>2.1</v>
      </c>
      <c r="B56" s="147" t="s">
        <v>39</v>
      </c>
      <c r="C56" s="147"/>
      <c r="D56" s="137">
        <f t="shared" si="21"/>
        <v>70</v>
      </c>
      <c r="E56" s="137"/>
      <c r="F56" s="143">
        <f t="shared" si="22"/>
        <v>10</v>
      </c>
      <c r="G56" s="144"/>
      <c r="H56" s="130">
        <f t="shared" si="20"/>
        <v>1500</v>
      </c>
      <c r="I56" s="130"/>
      <c r="J56" s="55">
        <f t="shared" si="23"/>
        <v>5860.3760000000002</v>
      </c>
      <c r="K56" s="55">
        <f t="shared" si="24"/>
        <v>-4360.3760000000002</v>
      </c>
    </row>
    <row r="57" spans="1:26">
      <c r="A57">
        <v>2.2999999999999998</v>
      </c>
      <c r="B57" s="147" t="s">
        <v>40</v>
      </c>
      <c r="C57" s="147"/>
      <c r="D57" s="137">
        <f t="shared" si="21"/>
        <v>76.666666666666657</v>
      </c>
      <c r="E57" s="137"/>
      <c r="F57" s="143">
        <f>ROUNDUP(($K$3*D57)/100,0)</f>
        <v>11</v>
      </c>
      <c r="G57" s="144"/>
      <c r="H57" s="130">
        <f t="shared" si="20"/>
        <v>1650</v>
      </c>
      <c r="I57" s="130"/>
      <c r="J57" s="55">
        <f t="shared" si="23"/>
        <v>5860.3760000000002</v>
      </c>
      <c r="K57" s="55">
        <f t="shared" si="24"/>
        <v>-4210.3760000000002</v>
      </c>
    </row>
    <row r="58" spans="1:26">
      <c r="A58">
        <v>1.6</v>
      </c>
      <c r="B58" s="147" t="s">
        <v>41</v>
      </c>
      <c r="C58" s="147"/>
      <c r="D58" s="137">
        <f t="shared" si="21"/>
        <v>53.333333333333336</v>
      </c>
      <c r="E58" s="137"/>
      <c r="F58" s="143">
        <f t="shared" si="22"/>
        <v>8</v>
      </c>
      <c r="G58" s="144"/>
      <c r="H58" s="130">
        <f t="shared" si="20"/>
        <v>1200</v>
      </c>
      <c r="I58" s="130"/>
      <c r="J58" s="55">
        <f t="shared" si="23"/>
        <v>5860.3760000000002</v>
      </c>
      <c r="K58" s="55">
        <f t="shared" si="24"/>
        <v>-4660.3760000000002</v>
      </c>
    </row>
    <row r="59" spans="1:26">
      <c r="A59">
        <v>0.6</v>
      </c>
      <c r="B59" s="147" t="s">
        <v>42</v>
      </c>
      <c r="C59" s="147"/>
      <c r="D59" s="137">
        <f t="shared" si="21"/>
        <v>20</v>
      </c>
      <c r="E59" s="137"/>
      <c r="F59" s="143">
        <f t="shared" si="22"/>
        <v>3</v>
      </c>
      <c r="G59" s="144"/>
      <c r="H59" s="130">
        <f t="shared" si="20"/>
        <v>450</v>
      </c>
      <c r="I59" s="130"/>
      <c r="J59" s="55">
        <f t="shared" si="23"/>
        <v>5860.3760000000002</v>
      </c>
      <c r="K59" s="55">
        <f t="shared" si="24"/>
        <v>-5410.3760000000002</v>
      </c>
    </row>
    <row r="60" spans="1:26">
      <c r="B60" s="6"/>
      <c r="C60" s="6"/>
      <c r="F60" s="138" t="s">
        <v>307</v>
      </c>
      <c r="G60" s="138"/>
      <c r="H60" s="138">
        <f>SUM(H45:I59)</f>
        <v>10500</v>
      </c>
      <c r="I60" s="138"/>
      <c r="J60" s="56"/>
      <c r="K60" s="56"/>
    </row>
    <row r="61" spans="1:26">
      <c r="B61" s="6"/>
      <c r="C61" s="6"/>
      <c r="F61" s="138" t="s">
        <v>47</v>
      </c>
      <c r="G61" s="138"/>
      <c r="H61" s="138">
        <f>H60*3600</f>
        <v>37800000</v>
      </c>
      <c r="I61" s="138"/>
      <c r="J61" s="56"/>
      <c r="K61" s="56"/>
    </row>
    <row r="62" spans="1:26">
      <c r="M62" s="138" t="s">
        <v>303</v>
      </c>
      <c r="N62" s="138"/>
      <c r="O62" s="138"/>
    </row>
    <row r="63" spans="1:26">
      <c r="J63" s="32"/>
      <c r="K63" s="32"/>
      <c r="M63" s="130">
        <f>P44-P45</f>
        <v>-505928</v>
      </c>
      <c r="N63" s="128"/>
      <c r="O63" s="128"/>
    </row>
    <row r="64" spans="1:26">
      <c r="A64" t="s">
        <v>80</v>
      </c>
      <c r="B64" s="138" t="s">
        <v>55</v>
      </c>
      <c r="C64" s="138"/>
      <c r="D64" s="138" t="s">
        <v>44</v>
      </c>
      <c r="E64" s="138"/>
      <c r="F64" s="139" t="s">
        <v>27</v>
      </c>
      <c r="G64" s="141"/>
      <c r="H64" s="138" t="s">
        <v>319</v>
      </c>
      <c r="I64" s="138"/>
      <c r="J64" s="79"/>
      <c r="K64" s="79"/>
    </row>
    <row r="65" spans="1:11">
      <c r="A65">
        <v>0.2</v>
      </c>
      <c r="B65" s="147" t="s">
        <v>29</v>
      </c>
      <c r="C65" s="147"/>
      <c r="D65" s="137">
        <f t="shared" ref="D65:D78" si="25">A65/0.03</f>
        <v>6.666666666666667</v>
      </c>
      <c r="E65" s="137"/>
      <c r="F65" s="143">
        <f>ROUNDUP(($K$3*D65)/100,0)</f>
        <v>1</v>
      </c>
      <c r="G65" s="144"/>
      <c r="H65" s="130">
        <f t="shared" ref="H65:H78" si="26">$K$4*F65</f>
        <v>150</v>
      </c>
      <c r="I65" s="130"/>
      <c r="J65" s="12"/>
      <c r="K65" s="12"/>
    </row>
    <row r="66" spans="1:11">
      <c r="A66">
        <v>0.5</v>
      </c>
      <c r="B66" s="147" t="s">
        <v>30</v>
      </c>
      <c r="C66" s="147"/>
      <c r="D66" s="137">
        <f t="shared" si="25"/>
        <v>16.666666666666668</v>
      </c>
      <c r="E66" s="137"/>
      <c r="F66" s="143">
        <f t="shared" ref="F66:F78" si="27">ROUNDUP(($K$3*D66)/100,0)</f>
        <v>3</v>
      </c>
      <c r="G66" s="144"/>
      <c r="H66" s="130">
        <f t="shared" si="26"/>
        <v>450</v>
      </c>
      <c r="I66" s="130"/>
      <c r="J66" s="12"/>
      <c r="K66" s="12"/>
    </row>
    <row r="67" spans="1:11">
      <c r="A67">
        <v>0.9</v>
      </c>
      <c r="B67" s="148" t="s">
        <v>31</v>
      </c>
      <c r="C67" s="147"/>
      <c r="D67" s="137">
        <f t="shared" si="25"/>
        <v>30.000000000000004</v>
      </c>
      <c r="E67" s="137"/>
      <c r="F67" s="143">
        <f t="shared" si="27"/>
        <v>5</v>
      </c>
      <c r="G67" s="144"/>
      <c r="H67" s="130">
        <f t="shared" si="26"/>
        <v>750</v>
      </c>
      <c r="I67" s="130"/>
      <c r="J67" s="12"/>
      <c r="K67" s="12"/>
    </row>
    <row r="68" spans="1:11">
      <c r="A68">
        <v>1.2</v>
      </c>
      <c r="B68" s="147" t="s">
        <v>32</v>
      </c>
      <c r="C68" s="147"/>
      <c r="D68" s="137">
        <f t="shared" si="25"/>
        <v>40</v>
      </c>
      <c r="E68" s="137"/>
      <c r="F68" s="143">
        <f t="shared" si="27"/>
        <v>6</v>
      </c>
      <c r="G68" s="144"/>
      <c r="H68" s="130">
        <f t="shared" si="26"/>
        <v>900</v>
      </c>
      <c r="I68" s="130"/>
      <c r="J68" s="12"/>
      <c r="K68" s="12"/>
    </row>
    <row r="69" spans="1:11">
      <c r="A69">
        <v>1.3</v>
      </c>
      <c r="B69" s="147" t="s">
        <v>33</v>
      </c>
      <c r="C69" s="147"/>
      <c r="D69" s="137">
        <f t="shared" si="25"/>
        <v>43.333333333333336</v>
      </c>
      <c r="E69" s="137"/>
      <c r="F69" s="143">
        <f t="shared" si="27"/>
        <v>7</v>
      </c>
      <c r="G69" s="144"/>
      <c r="H69" s="130">
        <f t="shared" si="26"/>
        <v>1050</v>
      </c>
      <c r="I69" s="130"/>
      <c r="J69" s="12"/>
      <c r="K69" s="12"/>
    </row>
    <row r="70" spans="1:11">
      <c r="A70">
        <v>1</v>
      </c>
      <c r="B70" s="147" t="s">
        <v>34</v>
      </c>
      <c r="C70" s="147"/>
      <c r="D70" s="137">
        <f t="shared" si="25"/>
        <v>33.333333333333336</v>
      </c>
      <c r="E70" s="137"/>
      <c r="F70" s="143">
        <f t="shared" si="27"/>
        <v>5</v>
      </c>
      <c r="G70" s="144"/>
      <c r="H70" s="130">
        <f t="shared" si="26"/>
        <v>750</v>
      </c>
      <c r="I70" s="130"/>
      <c r="J70" s="12"/>
      <c r="K70" s="12"/>
    </row>
    <row r="71" spans="1:11">
      <c r="A71">
        <v>0.5</v>
      </c>
      <c r="B71" s="147" t="s">
        <v>35</v>
      </c>
      <c r="C71" s="147"/>
      <c r="D71" s="137">
        <f t="shared" si="25"/>
        <v>16.666666666666668</v>
      </c>
      <c r="E71" s="137"/>
      <c r="F71" s="143">
        <f t="shared" si="27"/>
        <v>3</v>
      </c>
      <c r="G71" s="144"/>
      <c r="H71" s="130">
        <f t="shared" si="26"/>
        <v>450</v>
      </c>
      <c r="I71" s="130"/>
      <c r="J71" s="12"/>
      <c r="K71" s="12"/>
    </row>
    <row r="72" spans="1:11">
      <c r="A72">
        <v>0.3</v>
      </c>
      <c r="B72" s="147" t="s">
        <v>36</v>
      </c>
      <c r="C72" s="147"/>
      <c r="D72" s="137">
        <f t="shared" si="25"/>
        <v>10</v>
      </c>
      <c r="E72" s="137"/>
      <c r="F72" s="143">
        <f t="shared" si="27"/>
        <v>2</v>
      </c>
      <c r="G72" s="144"/>
      <c r="H72" s="130">
        <f t="shared" si="26"/>
        <v>300</v>
      </c>
      <c r="I72" s="130"/>
      <c r="J72" s="12"/>
      <c r="K72" s="12"/>
    </row>
    <row r="73" spans="1:11">
      <c r="A73">
        <v>0.4</v>
      </c>
      <c r="B73" s="147" t="s">
        <v>37</v>
      </c>
      <c r="C73" s="147"/>
      <c r="D73" s="137">
        <f t="shared" si="25"/>
        <v>13.333333333333334</v>
      </c>
      <c r="E73" s="137"/>
      <c r="F73" s="143">
        <f t="shared" si="27"/>
        <v>2</v>
      </c>
      <c r="G73" s="144"/>
      <c r="H73" s="130">
        <f t="shared" si="26"/>
        <v>300</v>
      </c>
      <c r="I73" s="130"/>
      <c r="J73" s="12"/>
      <c r="K73" s="12"/>
    </row>
    <row r="74" spans="1:11">
      <c r="A74">
        <v>0.7</v>
      </c>
      <c r="B74" s="147" t="s">
        <v>38</v>
      </c>
      <c r="C74" s="147"/>
      <c r="D74" s="137">
        <f t="shared" si="25"/>
        <v>23.333333333333332</v>
      </c>
      <c r="E74" s="137"/>
      <c r="F74" s="143">
        <f t="shared" si="27"/>
        <v>4</v>
      </c>
      <c r="G74" s="144"/>
      <c r="H74" s="130">
        <f t="shared" si="26"/>
        <v>600</v>
      </c>
      <c r="I74" s="130"/>
      <c r="J74" s="12"/>
      <c r="K74" s="12"/>
    </row>
    <row r="75" spans="1:11">
      <c r="A75">
        <v>1</v>
      </c>
      <c r="B75" s="147" t="s">
        <v>39</v>
      </c>
      <c r="C75" s="147"/>
      <c r="D75" s="137">
        <f t="shared" si="25"/>
        <v>33.333333333333336</v>
      </c>
      <c r="E75" s="137"/>
      <c r="F75" s="143">
        <f t="shared" si="27"/>
        <v>5</v>
      </c>
      <c r="G75" s="144"/>
      <c r="H75" s="130">
        <f t="shared" si="26"/>
        <v>750</v>
      </c>
      <c r="I75" s="130"/>
      <c r="J75" s="12"/>
      <c r="K75" s="12"/>
    </row>
    <row r="76" spans="1:11">
      <c r="A76">
        <v>0.9</v>
      </c>
      <c r="B76" s="147" t="s">
        <v>40</v>
      </c>
      <c r="C76" s="147"/>
      <c r="D76" s="137">
        <f t="shared" si="25"/>
        <v>30.000000000000004</v>
      </c>
      <c r="E76" s="137"/>
      <c r="F76" s="143">
        <f t="shared" si="27"/>
        <v>5</v>
      </c>
      <c r="G76" s="144"/>
      <c r="H76" s="130">
        <f t="shared" si="26"/>
        <v>750</v>
      </c>
      <c r="I76" s="130"/>
      <c r="J76" s="12"/>
      <c r="K76" s="12"/>
    </row>
    <row r="77" spans="1:11">
      <c r="A77">
        <v>0.6</v>
      </c>
      <c r="B77" s="147" t="s">
        <v>41</v>
      </c>
      <c r="C77" s="147"/>
      <c r="D77" s="137">
        <f t="shared" si="25"/>
        <v>20</v>
      </c>
      <c r="E77" s="137"/>
      <c r="F77" s="143">
        <f t="shared" si="27"/>
        <v>3</v>
      </c>
      <c r="G77" s="144"/>
      <c r="H77" s="130">
        <f t="shared" si="26"/>
        <v>450</v>
      </c>
      <c r="I77" s="130"/>
      <c r="J77" s="12"/>
      <c r="K77" s="12"/>
    </row>
    <row r="78" spans="1:11">
      <c r="A78">
        <v>0.3</v>
      </c>
      <c r="B78" s="147" t="s">
        <v>42</v>
      </c>
      <c r="C78" s="147"/>
      <c r="D78" s="137">
        <f t="shared" si="25"/>
        <v>10</v>
      </c>
      <c r="E78" s="137"/>
      <c r="F78" s="143">
        <f t="shared" si="27"/>
        <v>2</v>
      </c>
      <c r="G78" s="144"/>
      <c r="H78" s="130">
        <f t="shared" si="26"/>
        <v>300</v>
      </c>
      <c r="I78" s="130"/>
      <c r="J78" s="12"/>
      <c r="K78" s="12"/>
    </row>
    <row r="79" spans="1:11">
      <c r="B79" s="6"/>
      <c r="C79" s="6"/>
      <c r="F79" s="138" t="s">
        <v>307</v>
      </c>
      <c r="G79" s="138"/>
      <c r="H79" s="167">
        <f>SUM(H65:I78)</f>
        <v>7950</v>
      </c>
      <c r="I79" s="167"/>
      <c r="J79" s="12"/>
      <c r="K79" s="12"/>
    </row>
    <row r="80" spans="1:11">
      <c r="B80" s="6"/>
      <c r="C80" s="6"/>
      <c r="F80" s="138" t="s">
        <v>47</v>
      </c>
      <c r="G80" s="138"/>
      <c r="H80" s="138">
        <f>H79*3600</f>
        <v>28620000</v>
      </c>
      <c r="I80" s="138"/>
      <c r="J80" s="79"/>
      <c r="K80" s="79"/>
    </row>
    <row r="81" spans="10:11">
      <c r="J81" s="32"/>
      <c r="K81" s="32"/>
    </row>
    <row r="82" spans="10:11">
      <c r="J82" s="32"/>
      <c r="K82" s="32"/>
    </row>
  </sheetData>
  <mergeCells count="440">
    <mergeCell ref="AA40:AB40"/>
    <mergeCell ref="AA41:AB41"/>
    <mergeCell ref="AA42:AB42"/>
    <mergeCell ref="AA44:AB44"/>
    <mergeCell ref="Z34:AA34"/>
    <mergeCell ref="AB34:AC34"/>
    <mergeCell ref="AD34:AE34"/>
    <mergeCell ref="Z35:AA35"/>
    <mergeCell ref="AB35:AC35"/>
    <mergeCell ref="AD35:AE35"/>
    <mergeCell ref="Z36:AA36"/>
    <mergeCell ref="AB36:AC36"/>
    <mergeCell ref="AD36:AE36"/>
    <mergeCell ref="Z29:AA29"/>
    <mergeCell ref="AB29:AC29"/>
    <mergeCell ref="AD29:AE29"/>
    <mergeCell ref="Z30:AA30"/>
    <mergeCell ref="AB30:AC30"/>
    <mergeCell ref="AD30:AE30"/>
    <mergeCell ref="Z33:AA33"/>
    <mergeCell ref="AB33:AC33"/>
    <mergeCell ref="AD33:AE33"/>
    <mergeCell ref="Z24:AA24"/>
    <mergeCell ref="AB24:AC24"/>
    <mergeCell ref="AD24:AE24"/>
    <mergeCell ref="Z27:AA27"/>
    <mergeCell ref="AB27:AC27"/>
    <mergeCell ref="AD27:AE27"/>
    <mergeCell ref="Z28:AA28"/>
    <mergeCell ref="AB28:AC28"/>
    <mergeCell ref="AD28:AE28"/>
    <mergeCell ref="Z21:AA21"/>
    <mergeCell ref="AB21:AC21"/>
    <mergeCell ref="AD21:AE21"/>
    <mergeCell ref="Z22:AA22"/>
    <mergeCell ref="AB22:AC22"/>
    <mergeCell ref="AD22:AE22"/>
    <mergeCell ref="Z23:AA23"/>
    <mergeCell ref="AB23:AC23"/>
    <mergeCell ref="AD23:AE23"/>
    <mergeCell ref="F80:G80"/>
    <mergeCell ref="H80:I80"/>
    <mergeCell ref="F76:G76"/>
    <mergeCell ref="H76:I76"/>
    <mergeCell ref="F61:G61"/>
    <mergeCell ref="H61:I61"/>
    <mergeCell ref="M62:O62"/>
    <mergeCell ref="M63:O63"/>
    <mergeCell ref="K14:L14"/>
    <mergeCell ref="O14:P14"/>
    <mergeCell ref="K22:L22"/>
    <mergeCell ref="O37:P37"/>
    <mergeCell ref="N38:O38"/>
    <mergeCell ref="F78:G78"/>
    <mergeCell ref="H78:I78"/>
    <mergeCell ref="E35:F35"/>
    <mergeCell ref="G35:H35"/>
    <mergeCell ref="I35:J35"/>
    <mergeCell ref="K35:L35"/>
    <mergeCell ref="I38:J38"/>
    <mergeCell ref="K38:L38"/>
    <mergeCell ref="O20:P20"/>
    <mergeCell ref="O21:P21"/>
    <mergeCell ref="O22:P22"/>
    <mergeCell ref="B76:C76"/>
    <mergeCell ref="D76:E76"/>
    <mergeCell ref="V18:W18"/>
    <mergeCell ref="R16:S16"/>
    <mergeCell ref="T16:U16"/>
    <mergeCell ref="V16:W16"/>
    <mergeCell ref="R17:S17"/>
    <mergeCell ref="T17:U17"/>
    <mergeCell ref="V17:W17"/>
    <mergeCell ref="U26:V26"/>
    <mergeCell ref="W26:X26"/>
    <mergeCell ref="B69:C69"/>
    <mergeCell ref="D69:E69"/>
    <mergeCell ref="F69:G69"/>
    <mergeCell ref="H69:I69"/>
    <mergeCell ref="B70:C70"/>
    <mergeCell ref="D70:E70"/>
    <mergeCell ref="F70:G70"/>
    <mergeCell ref="H70:I70"/>
    <mergeCell ref="B71:C71"/>
    <mergeCell ref="D71:E71"/>
    <mergeCell ref="F71:G71"/>
    <mergeCell ref="H71:I71"/>
    <mergeCell ref="B67:C67"/>
    <mergeCell ref="R10:S10"/>
    <mergeCell ref="T10:U10"/>
    <mergeCell ref="V10:W10"/>
    <mergeCell ref="R11:S11"/>
    <mergeCell ref="T11:U11"/>
    <mergeCell ref="V11:W11"/>
    <mergeCell ref="R12:S12"/>
    <mergeCell ref="T12:U12"/>
    <mergeCell ref="V12:W12"/>
    <mergeCell ref="R13:S13"/>
    <mergeCell ref="T13:U13"/>
    <mergeCell ref="V13:W13"/>
    <mergeCell ref="R14:S14"/>
    <mergeCell ref="T14:U14"/>
    <mergeCell ref="V14:W14"/>
    <mergeCell ref="R15:S15"/>
    <mergeCell ref="T15:U15"/>
    <mergeCell ref="V15:W15"/>
    <mergeCell ref="B77:C77"/>
    <mergeCell ref="D77:E77"/>
    <mergeCell ref="F77:G77"/>
    <mergeCell ref="H77:I77"/>
    <mergeCell ref="F79:G79"/>
    <mergeCell ref="H79:I79"/>
    <mergeCell ref="B72:C72"/>
    <mergeCell ref="D72:E72"/>
    <mergeCell ref="F72:G72"/>
    <mergeCell ref="H72:I72"/>
    <mergeCell ref="B73:C73"/>
    <mergeCell ref="D73:E73"/>
    <mergeCell ref="F73:G73"/>
    <mergeCell ref="H73:I73"/>
    <mergeCell ref="B75:C75"/>
    <mergeCell ref="D75:E75"/>
    <mergeCell ref="F75:G75"/>
    <mergeCell ref="H75:I75"/>
    <mergeCell ref="B74:C74"/>
    <mergeCell ref="D74:E74"/>
    <mergeCell ref="F74:G74"/>
    <mergeCell ref="H74:I74"/>
    <mergeCell ref="B78:C78"/>
    <mergeCell ref="D78:E78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4:C64"/>
    <mergeCell ref="D64:E64"/>
    <mergeCell ref="F64:G64"/>
    <mergeCell ref="H64:I64"/>
    <mergeCell ref="B59:C59"/>
    <mergeCell ref="D59:E59"/>
    <mergeCell ref="F59:G59"/>
    <mergeCell ref="H59:I59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M45:O45"/>
    <mergeCell ref="B46:C46"/>
    <mergeCell ref="D46:E46"/>
    <mergeCell ref="F46:G46"/>
    <mergeCell ref="H46:I46"/>
    <mergeCell ref="B43:C43"/>
    <mergeCell ref="M43:N43"/>
    <mergeCell ref="B44:C44"/>
    <mergeCell ref="D44:E44"/>
    <mergeCell ref="F44:G44"/>
    <mergeCell ref="H44:I44"/>
    <mergeCell ref="M44:O44"/>
    <mergeCell ref="I18:J18"/>
    <mergeCell ref="K18:L18"/>
    <mergeCell ref="N18:O18"/>
    <mergeCell ref="B20:C20"/>
    <mergeCell ref="E20:F20"/>
    <mergeCell ref="G20:H20"/>
    <mergeCell ref="I20:J20"/>
    <mergeCell ref="K20:L20"/>
    <mergeCell ref="B21:C21"/>
    <mergeCell ref="E21:F21"/>
    <mergeCell ref="G21:H21"/>
    <mergeCell ref="I21:J21"/>
    <mergeCell ref="K21:L21"/>
    <mergeCell ref="B22:C22"/>
    <mergeCell ref="E22:F22"/>
    <mergeCell ref="G22:H22"/>
    <mergeCell ref="I22:J22"/>
    <mergeCell ref="B15:C15"/>
    <mergeCell ref="E15:F15"/>
    <mergeCell ref="G15:H15"/>
    <mergeCell ref="I15:J15"/>
    <mergeCell ref="K15:L15"/>
    <mergeCell ref="O15:P15"/>
    <mergeCell ref="B14:C14"/>
    <mergeCell ref="E14:F14"/>
    <mergeCell ref="G14:H14"/>
    <mergeCell ref="I14:J14"/>
    <mergeCell ref="B17:C17"/>
    <mergeCell ref="E17:F17"/>
    <mergeCell ref="G17:H17"/>
    <mergeCell ref="I17:J17"/>
    <mergeCell ref="K17:L17"/>
    <mergeCell ref="O17:P17"/>
    <mergeCell ref="B16:C16"/>
    <mergeCell ref="E16:F16"/>
    <mergeCell ref="G16:H16"/>
    <mergeCell ref="I16:J16"/>
    <mergeCell ref="K16:L16"/>
    <mergeCell ref="O16:P16"/>
    <mergeCell ref="B13:C13"/>
    <mergeCell ref="E13:F13"/>
    <mergeCell ref="G13:H13"/>
    <mergeCell ref="I13:J13"/>
    <mergeCell ref="K13:L13"/>
    <mergeCell ref="O13:P13"/>
    <mergeCell ref="B12:C12"/>
    <mergeCell ref="E12:F12"/>
    <mergeCell ref="G12:H12"/>
    <mergeCell ref="I12:J12"/>
    <mergeCell ref="K12:L12"/>
    <mergeCell ref="O12:P12"/>
    <mergeCell ref="B11:C11"/>
    <mergeCell ref="E11:F11"/>
    <mergeCell ref="G11:H11"/>
    <mergeCell ref="I11:J11"/>
    <mergeCell ref="K11:L11"/>
    <mergeCell ref="O11:P11"/>
    <mergeCell ref="I3:J3"/>
    <mergeCell ref="B4:C4"/>
    <mergeCell ref="D4:E4"/>
    <mergeCell ref="I4:J4"/>
    <mergeCell ref="B5:C5"/>
    <mergeCell ref="D5:E5"/>
    <mergeCell ref="O10:P10"/>
    <mergeCell ref="B9:C9"/>
    <mergeCell ref="B10:C10"/>
    <mergeCell ref="E10:F10"/>
    <mergeCell ref="G10:H10"/>
    <mergeCell ref="I10:J10"/>
    <mergeCell ref="K10:L10"/>
    <mergeCell ref="B23:C23"/>
    <mergeCell ref="E23:F23"/>
    <mergeCell ref="G23:H23"/>
    <mergeCell ref="I23:J23"/>
    <mergeCell ref="K23:L23"/>
    <mergeCell ref="B24:C24"/>
    <mergeCell ref="E24:F24"/>
    <mergeCell ref="G24:H24"/>
    <mergeCell ref="I24:J24"/>
    <mergeCell ref="K24:L24"/>
    <mergeCell ref="B25:C25"/>
    <mergeCell ref="E25:F25"/>
    <mergeCell ref="G25:H25"/>
    <mergeCell ref="I25:J25"/>
    <mergeCell ref="K25:L25"/>
    <mergeCell ref="B26:C26"/>
    <mergeCell ref="E26:F26"/>
    <mergeCell ref="G26:H26"/>
    <mergeCell ref="I26:J26"/>
    <mergeCell ref="K26:L26"/>
    <mergeCell ref="B27:C27"/>
    <mergeCell ref="E27:F27"/>
    <mergeCell ref="G27:H27"/>
    <mergeCell ref="I27:J27"/>
    <mergeCell ref="K27:L27"/>
    <mergeCell ref="I28:J28"/>
    <mergeCell ref="K28:L28"/>
    <mergeCell ref="B30:C30"/>
    <mergeCell ref="E30:F30"/>
    <mergeCell ref="G30:H30"/>
    <mergeCell ref="I30:J30"/>
    <mergeCell ref="K30:L30"/>
    <mergeCell ref="B31:C31"/>
    <mergeCell ref="E31:F31"/>
    <mergeCell ref="G31:H31"/>
    <mergeCell ref="I31:J31"/>
    <mergeCell ref="K31:L31"/>
    <mergeCell ref="B32:C32"/>
    <mergeCell ref="E32:F32"/>
    <mergeCell ref="G32:H32"/>
    <mergeCell ref="I32:J32"/>
    <mergeCell ref="K32:L32"/>
    <mergeCell ref="E37:F37"/>
    <mergeCell ref="G37:H37"/>
    <mergeCell ref="I37:J37"/>
    <mergeCell ref="K37:L37"/>
    <mergeCell ref="B33:C33"/>
    <mergeCell ref="E33:F33"/>
    <mergeCell ref="G33:H33"/>
    <mergeCell ref="I33:J33"/>
    <mergeCell ref="K33:L33"/>
    <mergeCell ref="B34:C34"/>
    <mergeCell ref="E34:F34"/>
    <mergeCell ref="G34:H34"/>
    <mergeCell ref="I34:J34"/>
    <mergeCell ref="K34:L34"/>
    <mergeCell ref="O33:P33"/>
    <mergeCell ref="O34:P34"/>
    <mergeCell ref="O35:P35"/>
    <mergeCell ref="O36:P36"/>
    <mergeCell ref="B35:C35"/>
    <mergeCell ref="A20:A27"/>
    <mergeCell ref="A30:A37"/>
    <mergeCell ref="N20:N27"/>
    <mergeCell ref="N30:N37"/>
    <mergeCell ref="O23:P23"/>
    <mergeCell ref="O24:P24"/>
    <mergeCell ref="O25:P25"/>
    <mergeCell ref="O26:P26"/>
    <mergeCell ref="O27:P27"/>
    <mergeCell ref="N28:O28"/>
    <mergeCell ref="O30:P30"/>
    <mergeCell ref="O31:P31"/>
    <mergeCell ref="O32:P32"/>
    <mergeCell ref="B36:C36"/>
    <mergeCell ref="E36:F36"/>
    <mergeCell ref="G36:H36"/>
    <mergeCell ref="I36:J36"/>
    <mergeCell ref="K36:L36"/>
    <mergeCell ref="B37:C37"/>
    <mergeCell ref="R18:U18"/>
    <mergeCell ref="S20:T20"/>
    <mergeCell ref="U20:V20"/>
    <mergeCell ref="W20:X20"/>
    <mergeCell ref="S21:T21"/>
    <mergeCell ref="U21:V21"/>
    <mergeCell ref="W21:X21"/>
    <mergeCell ref="S22:T22"/>
    <mergeCell ref="U22:V22"/>
    <mergeCell ref="W22:X22"/>
    <mergeCell ref="S23:T23"/>
    <mergeCell ref="U23:V23"/>
    <mergeCell ref="W23:X23"/>
    <mergeCell ref="S24:T24"/>
    <mergeCell ref="U24:V24"/>
    <mergeCell ref="W24:X24"/>
    <mergeCell ref="S25:T25"/>
    <mergeCell ref="U25:V25"/>
    <mergeCell ref="W25:X25"/>
    <mergeCell ref="S26:T26"/>
    <mergeCell ref="U33:V33"/>
    <mergeCell ref="W33:X33"/>
    <mergeCell ref="S34:T34"/>
    <mergeCell ref="U34:V34"/>
    <mergeCell ref="W34:X34"/>
    <mergeCell ref="S27:T27"/>
    <mergeCell ref="U27:V27"/>
    <mergeCell ref="W27:X27"/>
    <mergeCell ref="S28:V28"/>
    <mergeCell ref="W28:X28"/>
    <mergeCell ref="S30:T30"/>
    <mergeCell ref="U30:V30"/>
    <mergeCell ref="W30:X30"/>
    <mergeCell ref="S31:T31"/>
    <mergeCell ref="U31:V31"/>
    <mergeCell ref="W31:X31"/>
    <mergeCell ref="S38:V38"/>
    <mergeCell ref="W38:X38"/>
    <mergeCell ref="R20:R28"/>
    <mergeCell ref="R30:R38"/>
    <mergeCell ref="Z11:AA11"/>
    <mergeCell ref="Z12:AA12"/>
    <mergeCell ref="Z13:AA13"/>
    <mergeCell ref="Z14:AA14"/>
    <mergeCell ref="Z15:AA15"/>
    <mergeCell ref="Z16:AA16"/>
    <mergeCell ref="Z17:AA17"/>
    <mergeCell ref="S35:T35"/>
    <mergeCell ref="U35:V35"/>
    <mergeCell ref="W35:X35"/>
    <mergeCell ref="S36:T36"/>
    <mergeCell ref="U36:V36"/>
    <mergeCell ref="W36:X36"/>
    <mergeCell ref="S37:T37"/>
    <mergeCell ref="U37:V37"/>
    <mergeCell ref="W37:X37"/>
    <mergeCell ref="S32:T32"/>
    <mergeCell ref="U32:V32"/>
    <mergeCell ref="W32:X32"/>
    <mergeCell ref="S33:T33"/>
    <mergeCell ref="Z10:AA10"/>
    <mergeCell ref="AB18:AC18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Z18:AA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7"/>
  <sheetViews>
    <sheetView zoomScale="50" zoomScaleNormal="50" workbookViewId="0">
      <selection activeCell="P41" sqref="P41"/>
    </sheetView>
  </sheetViews>
  <sheetFormatPr baseColWidth="10" defaultRowHeight="15"/>
  <cols>
    <col min="3" max="3" width="15" customWidth="1"/>
    <col min="4" max="4" width="13.5703125" customWidth="1"/>
    <col min="7" max="7" width="13.5703125" customWidth="1"/>
    <col min="8" max="9" width="14" customWidth="1"/>
    <col min="10" max="10" width="14.5703125" customWidth="1"/>
    <col min="11" max="11" width="15.7109375" customWidth="1"/>
    <col min="12" max="12" width="14.5703125" customWidth="1"/>
    <col min="13" max="13" width="13.5703125" customWidth="1"/>
    <col min="15" max="15" width="15" customWidth="1"/>
    <col min="16" max="16" width="14.140625" customWidth="1"/>
    <col min="17" max="17" width="14.7109375" customWidth="1"/>
    <col min="18" max="18" width="14.5703125" customWidth="1"/>
    <col min="19" max="19" width="11.140625" customWidth="1"/>
    <col min="20" max="20" width="13" customWidth="1"/>
    <col min="24" max="24" width="16" bestFit="1" customWidth="1"/>
  </cols>
  <sheetData>
    <row r="3" spans="2:13">
      <c r="B3" s="128" t="s">
        <v>237</v>
      </c>
      <c r="C3" s="128"/>
      <c r="D3" s="174" t="s">
        <v>68</v>
      </c>
      <c r="E3" s="175"/>
      <c r="F3" s="10" t="s">
        <v>18</v>
      </c>
      <c r="H3" s="149" t="s">
        <v>45</v>
      </c>
      <c r="I3" s="149"/>
      <c r="J3" s="1">
        <v>26</v>
      </c>
    </row>
    <row r="4" spans="2:13">
      <c r="B4" s="150" t="s">
        <v>67</v>
      </c>
      <c r="C4" s="150"/>
      <c r="D4" s="128">
        <v>4</v>
      </c>
      <c r="E4" s="145"/>
      <c r="F4" s="4">
        <f>SUM(D4:E7)</f>
        <v>33</v>
      </c>
      <c r="H4" s="149" t="s">
        <v>72</v>
      </c>
      <c r="I4" s="149"/>
      <c r="J4" s="1">
        <v>200</v>
      </c>
    </row>
    <row r="5" spans="2:13">
      <c r="B5" s="151" t="s">
        <v>66</v>
      </c>
      <c r="C5" s="152"/>
      <c r="D5" s="128">
        <v>14</v>
      </c>
      <c r="E5" s="128"/>
      <c r="F5" s="9"/>
      <c r="H5" s="149" t="s">
        <v>65</v>
      </c>
      <c r="I5" s="149"/>
      <c r="J5" s="1">
        <v>120</v>
      </c>
      <c r="K5" s="168" t="s">
        <v>78</v>
      </c>
      <c r="L5" s="168"/>
      <c r="M5" s="168"/>
    </row>
    <row r="6" spans="2:13">
      <c r="B6" s="150" t="s">
        <v>69</v>
      </c>
      <c r="C6" s="150"/>
      <c r="D6" s="128">
        <v>9</v>
      </c>
      <c r="E6" s="128"/>
      <c r="H6" s="149" t="s">
        <v>76</v>
      </c>
      <c r="I6" s="149"/>
      <c r="J6" s="7">
        <f>J5/10</f>
        <v>12</v>
      </c>
      <c r="K6" s="168" t="s">
        <v>77</v>
      </c>
      <c r="L6" s="168"/>
      <c r="M6" s="168"/>
    </row>
    <row r="7" spans="2:13">
      <c r="B7" s="150" t="s">
        <v>70</v>
      </c>
      <c r="C7" s="150"/>
      <c r="D7" s="128">
        <v>6</v>
      </c>
      <c r="E7" s="128"/>
      <c r="H7" s="149" t="s">
        <v>236</v>
      </c>
      <c r="I7" s="149"/>
      <c r="J7" s="57">
        <v>0.8</v>
      </c>
    </row>
    <row r="11" spans="2:13">
      <c r="B11" s="145" t="s">
        <v>238</v>
      </c>
      <c r="C11" s="146"/>
      <c r="D11" s="174" t="s">
        <v>68</v>
      </c>
      <c r="E11" s="175"/>
      <c r="F11" s="10" t="s">
        <v>18</v>
      </c>
    </row>
    <row r="12" spans="2:13">
      <c r="B12" s="150" t="s">
        <v>239</v>
      </c>
      <c r="C12" s="150"/>
      <c r="D12" s="128">
        <v>5</v>
      </c>
      <c r="E12" s="145"/>
      <c r="F12" s="4">
        <f>SUM(D12:E15)</f>
        <v>15</v>
      </c>
    </row>
    <row r="13" spans="2:13">
      <c r="B13" s="151" t="s">
        <v>66</v>
      </c>
      <c r="C13" s="152"/>
      <c r="D13" s="128">
        <v>10</v>
      </c>
      <c r="E13" s="128"/>
      <c r="F13" s="9"/>
    </row>
    <row r="17" spans="1:17">
      <c r="N17" s="32"/>
    </row>
    <row r="18" spans="1:17">
      <c r="A18" s="32"/>
      <c r="N18" s="32"/>
    </row>
    <row r="19" spans="1:17">
      <c r="A19" s="32"/>
      <c r="B19" s="142" t="s">
        <v>64</v>
      </c>
      <c r="C19" s="142"/>
      <c r="N19" s="32"/>
    </row>
    <row r="20" spans="1:17">
      <c r="A20" s="32"/>
      <c r="B20" s="124" t="s">
        <v>86</v>
      </c>
      <c r="C20" s="124"/>
      <c r="D20" s="2" t="s">
        <v>1</v>
      </c>
      <c r="E20" s="124" t="s">
        <v>309</v>
      </c>
      <c r="F20" s="124"/>
      <c r="G20" s="124" t="s">
        <v>93</v>
      </c>
      <c r="H20" s="124"/>
      <c r="I20" s="124" t="s">
        <v>59</v>
      </c>
      <c r="J20" s="124"/>
      <c r="L20" s="124" t="s">
        <v>86</v>
      </c>
      <c r="M20" s="124"/>
      <c r="N20" s="124" t="s">
        <v>93</v>
      </c>
      <c r="O20" s="124"/>
      <c r="P20" s="124" t="s">
        <v>59</v>
      </c>
      <c r="Q20" s="124"/>
    </row>
    <row r="21" spans="1:17">
      <c r="A21" s="32"/>
      <c r="B21" s="125" t="s">
        <v>241</v>
      </c>
      <c r="C21" s="125"/>
      <c r="D21" s="1">
        <v>1</v>
      </c>
      <c r="E21" s="128">
        <v>5200</v>
      </c>
      <c r="F21" s="128"/>
      <c r="G21" s="130">
        <v>1</v>
      </c>
      <c r="H21" s="130"/>
      <c r="I21" s="126">
        <f t="shared" ref="I21:I23" si="0">D21*E21*G21</f>
        <v>5200</v>
      </c>
      <c r="J21" s="170"/>
      <c r="L21" s="125" t="s">
        <v>241</v>
      </c>
      <c r="M21" s="125"/>
      <c r="N21" s="130">
        <v>1</v>
      </c>
      <c r="O21" s="130"/>
      <c r="P21" s="126">
        <f>I21</f>
        <v>5200</v>
      </c>
      <c r="Q21" s="170"/>
    </row>
    <row r="22" spans="1:17">
      <c r="A22" s="32"/>
      <c r="B22" s="125" t="s">
        <v>240</v>
      </c>
      <c r="C22" s="125"/>
      <c r="D22" s="16">
        <v>3</v>
      </c>
      <c r="E22" s="172">
        <v>240</v>
      </c>
      <c r="F22" s="172"/>
      <c r="G22" s="157">
        <f t="shared" ref="G22:G23" si="1">$F$4</f>
        <v>33</v>
      </c>
      <c r="H22" s="157"/>
      <c r="I22" s="126">
        <f>D22*E22*G22</f>
        <v>23760</v>
      </c>
      <c r="J22" s="170"/>
      <c r="L22" s="125" t="s">
        <v>240</v>
      </c>
      <c r="M22" s="125"/>
      <c r="N22" s="157">
        <f t="shared" ref="N22:N23" si="2">$F$4</f>
        <v>33</v>
      </c>
      <c r="O22" s="157"/>
      <c r="P22" s="126">
        <f>I22</f>
        <v>23760</v>
      </c>
      <c r="Q22" s="170"/>
    </row>
    <row r="23" spans="1:17">
      <c r="A23" s="32"/>
      <c r="B23" s="125" t="s">
        <v>15</v>
      </c>
      <c r="C23" s="171"/>
      <c r="D23" s="7">
        <f>J6</f>
        <v>12</v>
      </c>
      <c r="E23" s="128">
        <v>41</v>
      </c>
      <c r="F23" s="128"/>
      <c r="G23" s="130">
        <f t="shared" si="1"/>
        <v>33</v>
      </c>
      <c r="H23" s="130"/>
      <c r="I23" s="126">
        <f t="shared" si="0"/>
        <v>16236</v>
      </c>
      <c r="J23" s="170"/>
      <c r="L23" s="125" t="s">
        <v>15</v>
      </c>
      <c r="M23" s="171"/>
      <c r="N23" s="130">
        <f t="shared" si="2"/>
        <v>33</v>
      </c>
      <c r="O23" s="130"/>
      <c r="P23" s="126">
        <f>I23</f>
        <v>16236</v>
      </c>
      <c r="Q23" s="170"/>
    </row>
    <row r="24" spans="1:17">
      <c r="A24" s="32"/>
      <c r="D24" s="8"/>
      <c r="E24" s="8"/>
      <c r="F24" s="8"/>
      <c r="G24" s="124" t="s">
        <v>82</v>
      </c>
      <c r="H24" s="124"/>
      <c r="I24" s="131">
        <f>SUM(I21:J23)</f>
        <v>45196</v>
      </c>
      <c r="J24" s="124"/>
      <c r="N24" s="124" t="s">
        <v>82</v>
      </c>
      <c r="O24" s="124"/>
      <c r="P24" s="131">
        <f>SUM(P21:Q23)</f>
        <v>45196</v>
      </c>
      <c r="Q24" s="124"/>
    </row>
    <row r="25" spans="1:17">
      <c r="A25" s="32"/>
      <c r="E25" s="8"/>
      <c r="F25" s="6"/>
      <c r="I25" s="11"/>
      <c r="J25" s="11"/>
      <c r="N25" s="32"/>
    </row>
    <row r="26" spans="1:17">
      <c r="E26" s="8"/>
      <c r="F26" s="6"/>
      <c r="I26" s="11"/>
      <c r="J26" s="11"/>
      <c r="K26" s="12"/>
      <c r="N26" s="32"/>
    </row>
    <row r="27" spans="1:17">
      <c r="B27" s="142" t="s">
        <v>49</v>
      </c>
      <c r="C27" s="142"/>
      <c r="J27" s="11"/>
      <c r="K27" s="12"/>
      <c r="L27" s="11"/>
      <c r="N27" s="32"/>
    </row>
    <row r="28" spans="1:17">
      <c r="B28" s="138" t="s">
        <v>71</v>
      </c>
      <c r="C28" s="138"/>
      <c r="D28" s="138" t="s">
        <v>186</v>
      </c>
      <c r="E28" s="138"/>
      <c r="L28" s="11"/>
      <c r="N28" s="32"/>
    </row>
    <row r="29" spans="1:17">
      <c r="B29" s="147">
        <f>F4</f>
        <v>33</v>
      </c>
      <c r="C29" s="147"/>
      <c r="D29" s="130">
        <f>B29*J3*J4*J7</f>
        <v>137280</v>
      </c>
      <c r="E29" s="130"/>
      <c r="F29" s="169" t="s">
        <v>75</v>
      </c>
      <c r="G29" s="128"/>
      <c r="H29" s="128"/>
      <c r="N29" s="32"/>
    </row>
    <row r="30" spans="1:17">
      <c r="E30" s="8"/>
      <c r="F30" s="6"/>
      <c r="I30" s="11"/>
      <c r="N30" s="32"/>
    </row>
    <row r="31" spans="1:17">
      <c r="N31" s="32"/>
    </row>
    <row r="32" spans="1:17">
      <c r="B32" s="142" t="s">
        <v>57</v>
      </c>
      <c r="C32" s="142"/>
      <c r="N32" s="32"/>
    </row>
    <row r="33" spans="2:24">
      <c r="B33" s="138" t="s">
        <v>183</v>
      </c>
      <c r="C33" s="138"/>
      <c r="D33" s="138"/>
      <c r="E33" s="7">
        <f>D29</f>
        <v>137280</v>
      </c>
      <c r="N33" s="32"/>
    </row>
    <row r="34" spans="2:24">
      <c r="B34" s="124" t="s">
        <v>185</v>
      </c>
      <c r="C34" s="124"/>
      <c r="D34" s="124"/>
      <c r="E34" s="7">
        <f>I24</f>
        <v>45196</v>
      </c>
      <c r="N34" s="32"/>
    </row>
    <row r="35" spans="2:24">
      <c r="B35" s="128" t="s">
        <v>235</v>
      </c>
      <c r="C35" s="128"/>
      <c r="D35" s="128"/>
      <c r="E35" s="7">
        <f>E33-E34</f>
        <v>92084</v>
      </c>
      <c r="F35" s="168" t="s">
        <v>79</v>
      </c>
      <c r="G35" s="168"/>
      <c r="H35" s="17" t="s">
        <v>94</v>
      </c>
      <c r="N35" s="32"/>
    </row>
    <row r="36" spans="2:24">
      <c r="C36" s="173" t="s">
        <v>74</v>
      </c>
      <c r="D36" s="173"/>
      <c r="E36" s="1">
        <v>34540</v>
      </c>
      <c r="F36" s="168" t="s">
        <v>79</v>
      </c>
      <c r="G36" s="168"/>
      <c r="H36" s="17" t="s">
        <v>94</v>
      </c>
      <c r="N36" s="32"/>
    </row>
    <row r="37" spans="2:24">
      <c r="C37" s="173" t="s">
        <v>73</v>
      </c>
      <c r="D37" s="173"/>
      <c r="E37" s="173"/>
      <c r="N37" s="32"/>
    </row>
    <row r="38" spans="2:24">
      <c r="N38" s="32"/>
    </row>
    <row r="39" spans="2:24">
      <c r="N39" s="32"/>
      <c r="U39" s="19"/>
      <c r="V39" s="19"/>
      <c r="W39" s="19"/>
      <c r="X39" s="19"/>
    </row>
    <row r="40" spans="2:24">
      <c r="L40" s="32"/>
      <c r="S40" s="19"/>
      <c r="T40" s="19"/>
      <c r="U40" s="19"/>
      <c r="V40" s="19"/>
    </row>
    <row r="41" spans="2:24">
      <c r="B41" s="20" t="s">
        <v>88</v>
      </c>
      <c r="C41" s="21">
        <v>0.14000000000000001</v>
      </c>
      <c r="D41" s="19"/>
      <c r="E41" s="19"/>
      <c r="G41" s="40" t="s">
        <v>131</v>
      </c>
      <c r="H41" s="41">
        <f>C41</f>
        <v>0.14000000000000001</v>
      </c>
      <c r="S41" s="19"/>
      <c r="T41" s="19"/>
      <c r="U41" s="19"/>
      <c r="V41" s="19"/>
    </row>
    <row r="42" spans="2:24">
      <c r="B42" s="153" t="s">
        <v>89</v>
      </c>
      <c r="C42" s="153"/>
      <c r="D42" s="26">
        <f>(E33*C41)*10^-3</f>
        <v>19.219200000000001</v>
      </c>
      <c r="E42" s="17" t="s">
        <v>90</v>
      </c>
      <c r="G42" s="158" t="s">
        <v>128</v>
      </c>
      <c r="H42" s="158"/>
      <c r="I42" s="158" t="s">
        <v>129</v>
      </c>
      <c r="J42" s="158"/>
      <c r="K42" s="158" t="s">
        <v>130</v>
      </c>
      <c r="L42" s="158"/>
    </row>
    <row r="43" spans="2:24">
      <c r="B43" s="154" t="s">
        <v>91</v>
      </c>
      <c r="C43" s="154"/>
      <c r="D43" s="27">
        <f>(E34*C41)*10^-3</f>
        <v>6.3274400000000011</v>
      </c>
      <c r="E43" s="17" t="s">
        <v>90</v>
      </c>
      <c r="G43" s="137">
        <f>I43/7</f>
        <v>6.4565714285714284</v>
      </c>
      <c r="H43" s="137"/>
      <c r="I43" s="137">
        <f>E34*10^-3</f>
        <v>45.195999999999998</v>
      </c>
      <c r="J43" s="137"/>
      <c r="K43" s="137">
        <f>G43*365</f>
        <v>2356.6485714285714</v>
      </c>
      <c r="L43" s="137"/>
    </row>
    <row r="44" spans="2:24">
      <c r="B44" s="155" t="s">
        <v>311</v>
      </c>
      <c r="C44" s="155"/>
      <c r="D44" s="27">
        <f>D42-D43</f>
        <v>12.89176</v>
      </c>
      <c r="E44" s="17" t="s">
        <v>90</v>
      </c>
      <c r="G44" s="158" t="s">
        <v>125</v>
      </c>
      <c r="H44" s="158"/>
      <c r="I44" s="158" t="s">
        <v>126</v>
      </c>
      <c r="J44" s="158"/>
      <c r="K44" s="158" t="s">
        <v>127</v>
      </c>
      <c r="L44" s="158"/>
    </row>
    <row r="45" spans="2:24">
      <c r="B45" s="19"/>
      <c r="C45" s="19"/>
      <c r="D45" s="22"/>
      <c r="E45" s="22"/>
      <c r="G45" s="176">
        <f>G43*H41</f>
        <v>0.90392000000000006</v>
      </c>
      <c r="H45" s="176"/>
      <c r="I45" s="176">
        <f>I43*H41</f>
        <v>6.3274400000000002</v>
      </c>
      <c r="J45" s="176"/>
      <c r="K45" s="176">
        <f>K43*H41</f>
        <v>329.93080000000003</v>
      </c>
      <c r="L45" s="176"/>
    </row>
    <row r="46" spans="2:24">
      <c r="B46" s="156" t="s">
        <v>310</v>
      </c>
      <c r="C46" s="156"/>
      <c r="D46" s="28">
        <f>D44/7*365</f>
        <v>672.21320000000003</v>
      </c>
      <c r="E46" s="17" t="s">
        <v>92</v>
      </c>
    </row>
    <row r="47" spans="2:24">
      <c r="G47" s="40" t="s">
        <v>131</v>
      </c>
      <c r="H47" s="41">
        <f>C41</f>
        <v>0.14000000000000001</v>
      </c>
    </row>
    <row r="48" spans="2:24">
      <c r="G48" s="138" t="s">
        <v>133</v>
      </c>
      <c r="H48" s="138"/>
      <c r="I48" s="138" t="s">
        <v>134</v>
      </c>
      <c r="J48" s="138"/>
      <c r="K48" s="138" t="s">
        <v>135</v>
      </c>
      <c r="L48" s="138"/>
    </row>
    <row r="49" spans="2:12">
      <c r="B49" s="19"/>
      <c r="C49" s="19"/>
      <c r="D49" s="19"/>
      <c r="E49" s="19"/>
      <c r="F49" s="19"/>
      <c r="G49" s="137">
        <f>I49/7</f>
        <v>19.611428571428572</v>
      </c>
      <c r="H49" s="137"/>
      <c r="I49" s="137">
        <f>E33*10^-3</f>
        <v>137.28</v>
      </c>
      <c r="J49" s="137"/>
      <c r="K49" s="137">
        <f>G49*365</f>
        <v>7158.1714285714288</v>
      </c>
      <c r="L49" s="137"/>
    </row>
    <row r="50" spans="2:12">
      <c r="G50" s="138" t="s">
        <v>136</v>
      </c>
      <c r="H50" s="138"/>
      <c r="I50" s="138" t="s">
        <v>137</v>
      </c>
      <c r="J50" s="138"/>
      <c r="K50" s="138" t="s">
        <v>138</v>
      </c>
      <c r="L50" s="138"/>
    </row>
    <row r="51" spans="2:12">
      <c r="G51" s="176">
        <f>G49*H47</f>
        <v>2.7456000000000005</v>
      </c>
      <c r="H51" s="176"/>
      <c r="I51" s="176">
        <f>G51*7</f>
        <v>19.219200000000004</v>
      </c>
      <c r="J51" s="176"/>
      <c r="K51" s="176">
        <f>G51*365</f>
        <v>1002.1440000000002</v>
      </c>
      <c r="L51" s="176"/>
    </row>
    <row r="53" spans="2:12">
      <c r="G53" s="40" t="s">
        <v>131</v>
      </c>
      <c r="H53" s="41">
        <f>H47</f>
        <v>0.14000000000000001</v>
      </c>
    </row>
    <row r="54" spans="2:12">
      <c r="G54" s="173" t="s">
        <v>139</v>
      </c>
      <c r="H54" s="173"/>
      <c r="I54" s="173" t="s">
        <v>140</v>
      </c>
      <c r="J54" s="173"/>
      <c r="K54" s="173" t="s">
        <v>141</v>
      </c>
      <c r="L54" s="173"/>
    </row>
    <row r="55" spans="2:12">
      <c r="G55" s="137">
        <f>G49-G43</f>
        <v>13.154857142857143</v>
      </c>
      <c r="H55" s="137"/>
      <c r="I55" s="137">
        <f t="shared" ref="I55" si="3">I49-I43</f>
        <v>92.084000000000003</v>
      </c>
      <c r="J55" s="137"/>
      <c r="K55" s="137">
        <f t="shared" ref="K55" si="4">K49-K43</f>
        <v>4801.5228571428579</v>
      </c>
      <c r="L55" s="137"/>
    </row>
    <row r="56" spans="2:12">
      <c r="G56" s="173" t="s">
        <v>142</v>
      </c>
      <c r="H56" s="173"/>
      <c r="I56" s="173" t="s">
        <v>143</v>
      </c>
      <c r="J56" s="173"/>
      <c r="K56" s="173" t="s">
        <v>187</v>
      </c>
      <c r="L56" s="173"/>
    </row>
    <row r="57" spans="2:12">
      <c r="G57" s="176">
        <f>G51-G45</f>
        <v>1.8416800000000004</v>
      </c>
      <c r="H57" s="176"/>
      <c r="I57" s="176">
        <f>G57*7</f>
        <v>12.891760000000003</v>
      </c>
      <c r="J57" s="176"/>
      <c r="K57" s="176">
        <f>G57*365</f>
        <v>672.21320000000014</v>
      </c>
      <c r="L57" s="176"/>
    </row>
  </sheetData>
  <mergeCells count="110">
    <mergeCell ref="G56:H56"/>
    <mergeCell ref="I56:J56"/>
    <mergeCell ref="K56:L56"/>
    <mergeCell ref="G57:H57"/>
    <mergeCell ref="I57:J57"/>
    <mergeCell ref="K57:L57"/>
    <mergeCell ref="I49:J49"/>
    <mergeCell ref="K49:L49"/>
    <mergeCell ref="G50:H50"/>
    <mergeCell ref="I50:J50"/>
    <mergeCell ref="K50:L50"/>
    <mergeCell ref="G51:H51"/>
    <mergeCell ref="I51:J51"/>
    <mergeCell ref="K51:L51"/>
    <mergeCell ref="G54:H54"/>
    <mergeCell ref="I54:J54"/>
    <mergeCell ref="K54:L54"/>
    <mergeCell ref="K44:L44"/>
    <mergeCell ref="G45:H45"/>
    <mergeCell ref="I45:J45"/>
    <mergeCell ref="K45:L45"/>
    <mergeCell ref="G48:H48"/>
    <mergeCell ref="I48:J48"/>
    <mergeCell ref="K48:L48"/>
    <mergeCell ref="I55:J55"/>
    <mergeCell ref="K55:L55"/>
    <mergeCell ref="K42:L42"/>
    <mergeCell ref="G43:H43"/>
    <mergeCell ref="N24:O24"/>
    <mergeCell ref="P24:Q24"/>
    <mergeCell ref="L20:M20"/>
    <mergeCell ref="L21:M21"/>
    <mergeCell ref="L22:M22"/>
    <mergeCell ref="L23:M23"/>
    <mergeCell ref="N20:O20"/>
    <mergeCell ref="P20:Q20"/>
    <mergeCell ref="N21:O21"/>
    <mergeCell ref="P21:Q21"/>
    <mergeCell ref="N22:O22"/>
    <mergeCell ref="P22:Q22"/>
    <mergeCell ref="N23:O23"/>
    <mergeCell ref="P23:Q23"/>
    <mergeCell ref="I43:J43"/>
    <mergeCell ref="K43:L43"/>
    <mergeCell ref="B42:C42"/>
    <mergeCell ref="B43:C43"/>
    <mergeCell ref="B44:C44"/>
    <mergeCell ref="B46:C46"/>
    <mergeCell ref="I21:J21"/>
    <mergeCell ref="I22:J22"/>
    <mergeCell ref="G42:H42"/>
    <mergeCell ref="G49:H49"/>
    <mergeCell ref="G55:H55"/>
    <mergeCell ref="I42:J42"/>
    <mergeCell ref="G44:H44"/>
    <mergeCell ref="I44:J44"/>
    <mergeCell ref="H3:I3"/>
    <mergeCell ref="B4:C4"/>
    <mergeCell ref="D4:E4"/>
    <mergeCell ref="H4:I4"/>
    <mergeCell ref="B5:C5"/>
    <mergeCell ref="D5:E5"/>
    <mergeCell ref="D3:E3"/>
    <mergeCell ref="B19:C19"/>
    <mergeCell ref="B20:C20"/>
    <mergeCell ref="E20:F20"/>
    <mergeCell ref="G20:H20"/>
    <mergeCell ref="I20:J20"/>
    <mergeCell ref="D7:E7"/>
    <mergeCell ref="H7:I7"/>
    <mergeCell ref="B11:C11"/>
    <mergeCell ref="D11:E11"/>
    <mergeCell ref="B12:C12"/>
    <mergeCell ref="D12:E12"/>
    <mergeCell ref="B13:C13"/>
    <mergeCell ref="D13:E13"/>
    <mergeCell ref="B3:C3"/>
    <mergeCell ref="B33:D33"/>
    <mergeCell ref="B34:D34"/>
    <mergeCell ref="C37:E37"/>
    <mergeCell ref="F35:G35"/>
    <mergeCell ref="F36:G36"/>
    <mergeCell ref="B35:D35"/>
    <mergeCell ref="C36:D36"/>
    <mergeCell ref="B32:C32"/>
    <mergeCell ref="B27:C27"/>
    <mergeCell ref="B28:C28"/>
    <mergeCell ref="K6:M6"/>
    <mergeCell ref="K5:M5"/>
    <mergeCell ref="D28:E28"/>
    <mergeCell ref="B29:C29"/>
    <mergeCell ref="D29:E29"/>
    <mergeCell ref="F29:H29"/>
    <mergeCell ref="B6:C6"/>
    <mergeCell ref="D6:E6"/>
    <mergeCell ref="H5:I5"/>
    <mergeCell ref="H6:I6"/>
    <mergeCell ref="G22:H22"/>
    <mergeCell ref="I24:J24"/>
    <mergeCell ref="G21:H21"/>
    <mergeCell ref="G23:H23"/>
    <mergeCell ref="I23:J23"/>
    <mergeCell ref="B7:C7"/>
    <mergeCell ref="B23:C23"/>
    <mergeCell ref="E23:F23"/>
    <mergeCell ref="B21:C21"/>
    <mergeCell ref="E21:F21"/>
    <mergeCell ref="B22:C22"/>
    <mergeCell ref="E22:F22"/>
    <mergeCell ref="G24:H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7:AK127"/>
  <sheetViews>
    <sheetView zoomScale="20" zoomScaleNormal="20" workbookViewId="0">
      <selection activeCell="AJ118" sqref="AJ118"/>
    </sheetView>
  </sheetViews>
  <sheetFormatPr baseColWidth="10" defaultRowHeight="15"/>
  <cols>
    <col min="3" max="3" width="15.140625" customWidth="1"/>
    <col min="4" max="4" width="17" customWidth="1"/>
    <col min="5" max="5" width="13.5703125" customWidth="1"/>
    <col min="6" max="6" width="14" customWidth="1"/>
    <col min="7" max="7" width="17.7109375" customWidth="1"/>
    <col min="8" max="8" width="13.42578125" customWidth="1"/>
    <col min="9" max="9" width="14" customWidth="1"/>
    <col min="10" max="10" width="13.140625" customWidth="1"/>
    <col min="12" max="12" width="12.5703125" customWidth="1"/>
    <col min="13" max="13" width="13.140625" customWidth="1"/>
    <col min="16" max="16" width="10.42578125" customWidth="1"/>
    <col min="17" max="17" width="16.28515625" customWidth="1"/>
    <col min="18" max="18" width="14.7109375" customWidth="1"/>
    <col min="19" max="19" width="14.42578125" customWidth="1"/>
    <col min="20" max="21" width="12.85546875" customWidth="1"/>
    <col min="22" max="22" width="12.140625" customWidth="1"/>
    <col min="23" max="23" width="13.28515625" customWidth="1"/>
    <col min="24" max="24" width="17.7109375" customWidth="1"/>
    <col min="25" max="25" width="16" customWidth="1"/>
    <col min="26" max="26" width="13" customWidth="1"/>
    <col min="27" max="27" width="15.7109375" customWidth="1"/>
    <col min="28" max="28" width="18" customWidth="1"/>
    <col min="29" max="29" width="17.28515625" customWidth="1"/>
    <col min="30" max="30" width="20.140625" customWidth="1"/>
    <col min="31" max="31" width="18.42578125" customWidth="1"/>
    <col min="34" max="35" width="14.140625" customWidth="1"/>
    <col min="40" max="40" width="8.28515625" customWidth="1"/>
    <col min="41" max="41" width="15.7109375" customWidth="1"/>
    <col min="42" max="42" width="20" customWidth="1"/>
    <col min="43" max="43" width="20.28515625" customWidth="1"/>
    <col min="44" max="44" width="19.28515625" customWidth="1"/>
  </cols>
  <sheetData>
    <row r="7" spans="2:8">
      <c r="C7" s="239" t="s">
        <v>87</v>
      </c>
      <c r="D7" s="239"/>
      <c r="E7" s="239"/>
      <c r="F7" s="19"/>
      <c r="H7" s="19"/>
    </row>
    <row r="8" spans="2:8">
      <c r="C8" s="125" t="s">
        <v>205</v>
      </c>
      <c r="D8" s="125"/>
      <c r="E8" s="128">
        <v>320</v>
      </c>
      <c r="F8" s="128"/>
      <c r="H8" s="19"/>
    </row>
    <row r="9" spans="2:8">
      <c r="C9" s="171" t="s">
        <v>206</v>
      </c>
      <c r="D9" s="240"/>
      <c r="E9" s="128">
        <v>1.956</v>
      </c>
      <c r="F9" s="128"/>
      <c r="H9" s="19"/>
    </row>
    <row r="10" spans="2:8">
      <c r="C10" s="171" t="s">
        <v>207</v>
      </c>
      <c r="D10" s="240"/>
      <c r="E10" s="128">
        <v>0.99199999999999999</v>
      </c>
      <c r="F10" s="128"/>
      <c r="H10" s="19"/>
    </row>
    <row r="11" spans="2:8" ht="15" customHeight="1">
      <c r="C11" s="241" t="s">
        <v>308</v>
      </c>
      <c r="D11" s="242"/>
      <c r="E11" s="243">
        <v>70</v>
      </c>
      <c r="F11" s="244"/>
      <c r="H11" s="19"/>
    </row>
    <row r="12" spans="2:8">
      <c r="C12" s="125" t="s">
        <v>219</v>
      </c>
      <c r="D12" s="125"/>
      <c r="E12" s="130">
        <f>E13-10</f>
        <v>32.5</v>
      </c>
      <c r="F12" s="130"/>
    </row>
    <row r="13" spans="2:8">
      <c r="C13" s="125" t="s">
        <v>220</v>
      </c>
      <c r="D13" s="125"/>
      <c r="E13" s="128">
        <v>42.5</v>
      </c>
      <c r="F13" s="128"/>
    </row>
    <row r="14" spans="2:8">
      <c r="B14" s="69"/>
      <c r="C14" s="234"/>
      <c r="D14" s="234"/>
      <c r="E14" s="234"/>
      <c r="F14" s="234"/>
      <c r="G14" s="69"/>
    </row>
    <row r="15" spans="2:8" ht="15" customHeight="1"/>
    <row r="19" spans="2:22" ht="15.75" thickBot="1"/>
    <row r="20" spans="2:22">
      <c r="B20" s="225" t="s">
        <v>95</v>
      </c>
      <c r="C20" s="226"/>
      <c r="D20" s="226"/>
      <c r="E20" s="226"/>
      <c r="F20" s="226"/>
      <c r="G20" s="226"/>
      <c r="H20" s="226"/>
      <c r="I20" s="227"/>
    </row>
    <row r="21" spans="2:22">
      <c r="B21" s="228"/>
      <c r="C21" s="229"/>
      <c r="D21" s="229"/>
      <c r="E21" s="229"/>
      <c r="F21" s="229"/>
      <c r="G21" s="229"/>
      <c r="H21" s="229"/>
      <c r="I21" s="230"/>
    </row>
    <row r="22" spans="2:22" ht="15.75" thickBot="1">
      <c r="B22" s="231"/>
      <c r="C22" s="232"/>
      <c r="D22" s="232"/>
      <c r="E22" s="232"/>
      <c r="F22" s="232"/>
      <c r="G22" s="232"/>
      <c r="H22" s="232"/>
      <c r="I22" s="233"/>
    </row>
    <row r="24" spans="2:22" ht="15.75" thickBot="1">
      <c r="I24" s="30" t="s">
        <v>101</v>
      </c>
      <c r="J24" s="30" t="s">
        <v>102</v>
      </c>
      <c r="Q24" s="245" t="s">
        <v>212</v>
      </c>
      <c r="R24" s="245"/>
      <c r="S24" s="245"/>
      <c r="U24" s="177" t="s">
        <v>228</v>
      </c>
      <c r="V24" s="178"/>
    </row>
    <row r="25" spans="2:22" ht="15.75" thickBot="1">
      <c r="B25" s="217" t="s">
        <v>98</v>
      </c>
      <c r="C25" s="218"/>
      <c r="E25" s="219" t="s">
        <v>99</v>
      </c>
      <c r="F25" s="219"/>
      <c r="G25" s="1">
        <f>I25*J25</f>
        <v>900</v>
      </c>
      <c r="I25" s="4">
        <v>20</v>
      </c>
      <c r="J25" s="4">
        <v>45</v>
      </c>
      <c r="Q25" s="49" t="s">
        <v>213</v>
      </c>
      <c r="R25" s="145">
        <f>E9</f>
        <v>1.956</v>
      </c>
      <c r="S25" s="146"/>
      <c r="U25" s="52" t="s">
        <v>229</v>
      </c>
      <c r="V25" s="76">
        <f>ROUNDUP((J25/R33)-3,0)</f>
        <v>11</v>
      </c>
    </row>
    <row r="26" spans="2:22">
      <c r="Q26" s="50" t="s">
        <v>214</v>
      </c>
      <c r="R26" s="143">
        <f>E12</f>
        <v>32.5</v>
      </c>
      <c r="S26" s="146"/>
      <c r="U26" s="52" t="s">
        <v>230</v>
      </c>
      <c r="V26" s="76">
        <f>ROUNDUP(I25/E10-3,0)</f>
        <v>18</v>
      </c>
    </row>
    <row r="27" spans="2:22" ht="15.75" thickBot="1">
      <c r="E27" s="219" t="s">
        <v>103</v>
      </c>
      <c r="F27" s="219"/>
      <c r="G27" s="1">
        <v>1600</v>
      </c>
      <c r="I27" s="30" t="s">
        <v>101</v>
      </c>
      <c r="J27" s="30" t="s">
        <v>102</v>
      </c>
      <c r="Q27" s="49" t="s">
        <v>215</v>
      </c>
      <c r="R27" s="145">
        <f>E13</f>
        <v>42.5</v>
      </c>
      <c r="S27" s="146"/>
      <c r="U27" s="53" t="s">
        <v>234</v>
      </c>
      <c r="V27" s="76">
        <f>V25*V26</f>
        <v>198</v>
      </c>
    </row>
    <row r="28" spans="2:22">
      <c r="B28" s="220" t="s">
        <v>97</v>
      </c>
      <c r="C28" s="221"/>
      <c r="E28" s="219" t="s">
        <v>99</v>
      </c>
      <c r="F28" s="219"/>
      <c r="G28" s="1">
        <f>G27+I28*J28</f>
        <v>1880</v>
      </c>
      <c r="H28" s="31"/>
      <c r="I28" s="4">
        <v>10</v>
      </c>
      <c r="J28" s="4">
        <v>28</v>
      </c>
      <c r="Q28" s="49" t="s">
        <v>216</v>
      </c>
      <c r="R28" s="223">
        <f>(R27*PI())/180</f>
        <v>0.74176493209759009</v>
      </c>
      <c r="S28" s="224"/>
      <c r="V28" s="31"/>
    </row>
    <row r="29" spans="2:22">
      <c r="B29" s="145" t="s">
        <v>100</v>
      </c>
      <c r="C29" s="146"/>
      <c r="E29" s="29"/>
      <c r="F29" s="29"/>
      <c r="G29" s="31"/>
      <c r="H29" s="31"/>
      <c r="Q29" s="50" t="s">
        <v>217</v>
      </c>
      <c r="R29" s="223">
        <f>SIN(R26)</f>
        <v>0.88387042354583067</v>
      </c>
      <c r="S29" s="224"/>
      <c r="V29" s="31"/>
    </row>
    <row r="30" spans="2:22" ht="15.75" thickBot="1">
      <c r="H30" s="31"/>
      <c r="I30" s="30" t="s">
        <v>101</v>
      </c>
      <c r="J30" s="30" t="s">
        <v>102</v>
      </c>
      <c r="Q30" s="50" t="s">
        <v>218</v>
      </c>
      <c r="R30" s="223">
        <f>COS(R26)</f>
        <v>0.46773184024707359</v>
      </c>
      <c r="S30" s="224"/>
      <c r="V30" s="31"/>
    </row>
    <row r="31" spans="2:22" ht="15.75" thickBot="1">
      <c r="B31" s="217" t="s">
        <v>96</v>
      </c>
      <c r="C31" s="218"/>
      <c r="E31" s="219" t="s">
        <v>99</v>
      </c>
      <c r="F31" s="219"/>
      <c r="G31" s="1">
        <f>I31*J31 +(I33*J33)/2</f>
        <v>732.11999999999989</v>
      </c>
      <c r="H31" s="31"/>
      <c r="I31" s="4">
        <v>17.239999999999998</v>
      </c>
      <c r="J31" s="4">
        <v>38</v>
      </c>
      <c r="Q31" s="49" t="s">
        <v>221</v>
      </c>
      <c r="R31" s="223">
        <f>TAN(61*PI()/180)</f>
        <v>1.8040477552714236</v>
      </c>
      <c r="S31" s="224"/>
      <c r="T31" s="32"/>
      <c r="U31" s="69"/>
      <c r="V31" s="69"/>
    </row>
    <row r="32" spans="2:22">
      <c r="H32" s="31"/>
      <c r="I32" s="30" t="s">
        <v>101</v>
      </c>
      <c r="J32" s="30" t="s">
        <v>102</v>
      </c>
      <c r="Q32" s="51" t="s">
        <v>222</v>
      </c>
      <c r="R32" s="223">
        <f>R25*(R29/(R31-R28)+R30)</f>
        <v>2.5423695978531149</v>
      </c>
      <c r="S32" s="224"/>
      <c r="T32" s="32"/>
      <c r="U32" s="69"/>
      <c r="V32" s="69"/>
    </row>
    <row r="33" spans="2:22">
      <c r="H33" s="31"/>
      <c r="I33" s="4">
        <v>14</v>
      </c>
      <c r="J33" s="4">
        <v>11</v>
      </c>
      <c r="Q33" s="51" t="s">
        <v>223</v>
      </c>
      <c r="R33" s="222">
        <f>R32*1.3</f>
        <v>3.3050804772090494</v>
      </c>
      <c r="S33" s="222"/>
      <c r="T33" s="32"/>
      <c r="U33" s="69"/>
      <c r="V33" s="69"/>
    </row>
    <row r="36" spans="2:22" ht="15" customHeight="1"/>
    <row r="37" spans="2:22" ht="15" customHeight="1"/>
    <row r="38" spans="2:22" ht="15.75" customHeight="1" thickBot="1"/>
    <row r="39" spans="2:22">
      <c r="B39" s="225" t="s">
        <v>188</v>
      </c>
      <c r="C39" s="226"/>
      <c r="D39" s="226"/>
      <c r="E39" s="226"/>
      <c r="F39" s="226"/>
      <c r="G39" s="226"/>
      <c r="H39" s="226"/>
      <c r="I39" s="227"/>
    </row>
    <row r="40" spans="2:22">
      <c r="B40" s="228"/>
      <c r="C40" s="229"/>
      <c r="D40" s="229"/>
      <c r="E40" s="229"/>
      <c r="F40" s="229"/>
      <c r="G40" s="229"/>
      <c r="H40" s="229"/>
      <c r="I40" s="230"/>
    </row>
    <row r="41" spans="2:22" ht="15.75" thickBot="1">
      <c r="B41" s="231"/>
      <c r="C41" s="232"/>
      <c r="D41" s="232"/>
      <c r="E41" s="232"/>
      <c r="F41" s="232"/>
      <c r="G41" s="232"/>
      <c r="H41" s="232"/>
      <c r="I41" s="233"/>
    </row>
    <row r="44" spans="2:22" ht="15.75" thickBot="1"/>
    <row r="45" spans="2:22" ht="15.75" thickBot="1">
      <c r="B45" s="217" t="s">
        <v>98</v>
      </c>
      <c r="C45" s="218"/>
      <c r="E45" s="30" t="s">
        <v>101</v>
      </c>
      <c r="F45" s="30" t="s">
        <v>102</v>
      </c>
      <c r="H45" s="219" t="s">
        <v>99</v>
      </c>
      <c r="I45" s="219"/>
      <c r="J45" s="1">
        <f>E46*F46</f>
        <v>900</v>
      </c>
    </row>
    <row r="46" spans="2:22">
      <c r="E46" s="4">
        <v>20</v>
      </c>
      <c r="F46" s="4">
        <v>45</v>
      </c>
    </row>
    <row r="50" spans="2:21" ht="15.75" thickBot="1"/>
    <row r="51" spans="2:21">
      <c r="B51" s="220" t="s">
        <v>97</v>
      </c>
      <c r="C51" s="221"/>
      <c r="E51" s="30" t="s">
        <v>101</v>
      </c>
      <c r="F51" s="30" t="s">
        <v>102</v>
      </c>
      <c r="H51" s="219" t="s">
        <v>103</v>
      </c>
      <c r="I51" s="219"/>
      <c r="J51" s="1">
        <v>1600</v>
      </c>
    </row>
    <row r="52" spans="2:21">
      <c r="B52" s="145" t="s">
        <v>100</v>
      </c>
      <c r="C52" s="146"/>
      <c r="E52" s="4">
        <v>10</v>
      </c>
      <c r="F52" s="4">
        <v>28</v>
      </c>
      <c r="H52" s="219" t="s">
        <v>99</v>
      </c>
      <c r="I52" s="219"/>
      <c r="J52" s="1">
        <f>J51+E52*F52</f>
        <v>1880</v>
      </c>
    </row>
    <row r="55" spans="2:21">
      <c r="U55" s="31"/>
    </row>
    <row r="56" spans="2:21">
      <c r="U56" s="31"/>
    </row>
    <row r="57" spans="2:21" ht="15.75" thickBot="1">
      <c r="U57" s="31"/>
    </row>
    <row r="58" spans="2:21" ht="15.75" thickBot="1">
      <c r="B58" s="217" t="s">
        <v>96</v>
      </c>
      <c r="C58" s="218"/>
      <c r="E58" s="30" t="s">
        <v>101</v>
      </c>
      <c r="F58" s="30" t="s">
        <v>102</v>
      </c>
      <c r="H58" s="219" t="s">
        <v>99</v>
      </c>
      <c r="I58" s="219"/>
      <c r="J58" s="1">
        <f>E59*F59 +(E62*F62)/2</f>
        <v>732.11999999999989</v>
      </c>
    </row>
    <row r="59" spans="2:21">
      <c r="E59" s="4">
        <v>17.239999999999998</v>
      </c>
      <c r="F59" s="4">
        <v>38</v>
      </c>
    </row>
    <row r="61" spans="2:21">
      <c r="E61" s="30" t="s">
        <v>101</v>
      </c>
      <c r="F61" s="30" t="s">
        <v>102</v>
      </c>
    </row>
    <row r="62" spans="2:21">
      <c r="E62" s="4">
        <v>14</v>
      </c>
      <c r="F62" s="4">
        <v>11</v>
      </c>
    </row>
    <row r="64" spans="2:21" ht="15" customHeight="1"/>
    <row r="65" ht="15" customHeight="1"/>
    <row r="66" ht="15.75" customHeight="1"/>
    <row r="87" spans="10:37">
      <c r="J87" s="6"/>
      <c r="K87" s="6"/>
      <c r="L87" s="216" t="s">
        <v>245</v>
      </c>
      <c r="M87" s="216"/>
      <c r="N87" s="216" t="s">
        <v>208</v>
      </c>
      <c r="O87" s="216"/>
      <c r="P87" s="180" t="s">
        <v>204</v>
      </c>
      <c r="Q87" s="181"/>
      <c r="R87" s="180" t="s">
        <v>209</v>
      </c>
      <c r="S87" s="181"/>
      <c r="U87" s="6"/>
      <c r="V87" s="6"/>
      <c r="W87" s="180" t="s">
        <v>204</v>
      </c>
      <c r="X87" s="181"/>
      <c r="Y87" s="180" t="s">
        <v>209</v>
      </c>
      <c r="Z87" s="181"/>
    </row>
    <row r="88" spans="10:37">
      <c r="J88" s="6"/>
      <c r="K88" s="6"/>
      <c r="L88" s="216"/>
      <c r="M88" s="216"/>
      <c r="N88" s="216"/>
      <c r="O88" s="216"/>
      <c r="P88" s="182"/>
      <c r="Q88" s="183"/>
      <c r="R88" s="182"/>
      <c r="S88" s="183"/>
      <c r="U88" s="6"/>
      <c r="V88" s="6"/>
      <c r="W88" s="182"/>
      <c r="X88" s="183"/>
      <c r="Y88" s="182"/>
      <c r="Z88" s="183"/>
    </row>
    <row r="89" spans="10:37">
      <c r="J89" s="179" t="s">
        <v>189</v>
      </c>
      <c r="K89" s="179"/>
      <c r="L89" s="145">
        <v>2380</v>
      </c>
      <c r="M89" s="146"/>
      <c r="N89" s="128">
        <f>L89*10^-3</f>
        <v>2.38</v>
      </c>
      <c r="O89" s="128"/>
      <c r="P89" s="143">
        <f>N89*$E$8*($E$11/100)</f>
        <v>533.11999999999989</v>
      </c>
      <c r="Q89" s="144"/>
      <c r="R89" s="143">
        <f>P89*31</f>
        <v>16526.719999999998</v>
      </c>
      <c r="S89" s="144"/>
      <c r="U89" s="179" t="s">
        <v>189</v>
      </c>
      <c r="V89" s="179"/>
      <c r="W89" s="143">
        <f t="shared" ref="W89:W101" si="0">P89</f>
        <v>533.11999999999989</v>
      </c>
      <c r="X89" s="144"/>
      <c r="Y89" s="143">
        <f>W89*31</f>
        <v>16526.719999999998</v>
      </c>
      <c r="Z89" s="144"/>
      <c r="AB89" s="256" t="s">
        <v>225</v>
      </c>
      <c r="AC89" s="258">
        <f>E8</f>
        <v>320</v>
      </c>
      <c r="AH89" s="260" t="s">
        <v>225</v>
      </c>
      <c r="AI89" s="258">
        <f>E8</f>
        <v>320</v>
      </c>
      <c r="AJ89" s="209" t="s">
        <v>233</v>
      </c>
      <c r="AK89" s="210"/>
    </row>
    <row r="90" spans="10:37">
      <c r="J90" s="188" t="s">
        <v>190</v>
      </c>
      <c r="K90" s="189"/>
      <c r="L90" s="145">
        <v>3140</v>
      </c>
      <c r="M90" s="146"/>
      <c r="N90" s="128">
        <f t="shared" ref="N90:N100" si="1">L90*10^-3</f>
        <v>3.14</v>
      </c>
      <c r="O90" s="128"/>
      <c r="P90" s="143">
        <f t="shared" ref="P90:P101" si="2">N90*$E$8*($E$11/100)</f>
        <v>703.36</v>
      </c>
      <c r="Q90" s="144"/>
      <c r="R90" s="143">
        <f t="shared" ref="R90:R100" si="3">P90*31</f>
        <v>21804.16</v>
      </c>
      <c r="S90" s="144"/>
      <c r="U90" s="188" t="s">
        <v>190</v>
      </c>
      <c r="V90" s="189"/>
      <c r="W90" s="143">
        <f t="shared" si="0"/>
        <v>703.36</v>
      </c>
      <c r="X90" s="144"/>
      <c r="Y90" s="143">
        <f t="shared" ref="Y90:Y101" si="4">W90*31</f>
        <v>21804.16</v>
      </c>
      <c r="Z90" s="144"/>
      <c r="AB90" s="257"/>
      <c r="AC90" s="259"/>
      <c r="AH90" s="261"/>
      <c r="AI90" s="259"/>
      <c r="AJ90" s="211"/>
      <c r="AK90" s="212"/>
    </row>
    <row r="91" spans="10:37">
      <c r="J91" s="188" t="s">
        <v>191</v>
      </c>
      <c r="K91" s="189"/>
      <c r="L91" s="145">
        <v>4650</v>
      </c>
      <c r="M91" s="146"/>
      <c r="N91" s="128">
        <f t="shared" si="1"/>
        <v>4.6500000000000004</v>
      </c>
      <c r="O91" s="128"/>
      <c r="P91" s="143">
        <f t="shared" si="2"/>
        <v>1041.5999999999999</v>
      </c>
      <c r="Q91" s="144"/>
      <c r="R91" s="143">
        <f t="shared" si="3"/>
        <v>32289.599999999999</v>
      </c>
      <c r="S91" s="144"/>
      <c r="U91" s="188" t="s">
        <v>191</v>
      </c>
      <c r="V91" s="189"/>
      <c r="W91" s="143">
        <f t="shared" si="0"/>
        <v>1041.5999999999999</v>
      </c>
      <c r="X91" s="144"/>
      <c r="Y91" s="143">
        <f t="shared" si="4"/>
        <v>32289.599999999999</v>
      </c>
      <c r="Z91" s="144"/>
      <c r="AB91" s="252" t="s">
        <v>224</v>
      </c>
      <c r="AC91" s="253"/>
      <c r="AD91" s="192">
        <v>0.14000000000000001</v>
      </c>
      <c r="AE91" s="193"/>
      <c r="AH91" s="252" t="s">
        <v>224</v>
      </c>
      <c r="AI91" s="253"/>
      <c r="AJ91" s="192">
        <v>0.14000000000000001</v>
      </c>
      <c r="AK91" s="193"/>
    </row>
    <row r="92" spans="10:37">
      <c r="J92" s="188" t="s">
        <v>192</v>
      </c>
      <c r="K92" s="189"/>
      <c r="L92" s="145">
        <v>4880</v>
      </c>
      <c r="M92" s="146"/>
      <c r="N92" s="128">
        <f t="shared" si="1"/>
        <v>4.88</v>
      </c>
      <c r="O92" s="128"/>
      <c r="P92" s="143">
        <f t="shared" si="2"/>
        <v>1093.1199999999999</v>
      </c>
      <c r="Q92" s="144"/>
      <c r="R92" s="143">
        <f t="shared" si="3"/>
        <v>33886.719999999994</v>
      </c>
      <c r="S92" s="144"/>
      <c r="U92" s="188" t="s">
        <v>192</v>
      </c>
      <c r="V92" s="189"/>
      <c r="W92" s="143">
        <f t="shared" si="0"/>
        <v>1093.1199999999999</v>
      </c>
      <c r="X92" s="144"/>
      <c r="Y92" s="143">
        <f t="shared" si="4"/>
        <v>33886.719999999994</v>
      </c>
      <c r="Z92" s="144"/>
      <c r="AB92" s="254"/>
      <c r="AC92" s="255"/>
      <c r="AD92" s="194"/>
      <c r="AE92" s="195"/>
      <c r="AH92" s="254"/>
      <c r="AI92" s="255"/>
      <c r="AJ92" s="194"/>
      <c r="AK92" s="195"/>
    </row>
    <row r="93" spans="10:37">
      <c r="J93" s="188" t="s">
        <v>193</v>
      </c>
      <c r="K93" s="189"/>
      <c r="L93" s="145">
        <v>5410</v>
      </c>
      <c r="M93" s="146"/>
      <c r="N93" s="128">
        <f t="shared" si="1"/>
        <v>5.41</v>
      </c>
      <c r="O93" s="128"/>
      <c r="P93" s="143">
        <f t="shared" si="2"/>
        <v>1211.8399999999999</v>
      </c>
      <c r="Q93" s="144"/>
      <c r="R93" s="143">
        <f t="shared" si="3"/>
        <v>37567.040000000001</v>
      </c>
      <c r="S93" s="144"/>
      <c r="U93" s="188" t="s">
        <v>193</v>
      </c>
      <c r="V93" s="189"/>
      <c r="W93" s="143">
        <f t="shared" si="0"/>
        <v>1211.8399999999999</v>
      </c>
      <c r="X93" s="144"/>
      <c r="Y93" s="143">
        <f t="shared" si="4"/>
        <v>37567.040000000001</v>
      </c>
      <c r="Z93" s="144"/>
      <c r="AB93" s="196" t="s">
        <v>226</v>
      </c>
      <c r="AC93" s="181"/>
      <c r="AD93" s="248">
        <f>R102*10^-3</f>
        <v>368.37919999999997</v>
      </c>
      <c r="AE93" s="249"/>
      <c r="AH93" s="196" t="s">
        <v>232</v>
      </c>
      <c r="AI93" s="181"/>
      <c r="AJ93" s="197">
        <f>ROUNDUP(AD93*V27,0)</f>
        <v>72940</v>
      </c>
      <c r="AK93" s="198"/>
    </row>
    <row r="94" spans="10:37">
      <c r="J94" s="188" t="s">
        <v>194</v>
      </c>
      <c r="K94" s="189"/>
      <c r="L94" s="145">
        <v>5920</v>
      </c>
      <c r="M94" s="146"/>
      <c r="N94" s="128">
        <f t="shared" si="1"/>
        <v>5.92</v>
      </c>
      <c r="O94" s="128"/>
      <c r="P94" s="143">
        <f t="shared" si="2"/>
        <v>1326.08</v>
      </c>
      <c r="Q94" s="144"/>
      <c r="R94" s="143">
        <f t="shared" si="3"/>
        <v>41108.479999999996</v>
      </c>
      <c r="S94" s="144"/>
      <c r="U94" s="188" t="s">
        <v>194</v>
      </c>
      <c r="V94" s="189"/>
      <c r="W94" s="143">
        <f t="shared" si="0"/>
        <v>1326.08</v>
      </c>
      <c r="X94" s="144"/>
      <c r="Y94" s="143">
        <f t="shared" si="4"/>
        <v>41108.479999999996</v>
      </c>
      <c r="Z94" s="144"/>
      <c r="AB94" s="182"/>
      <c r="AC94" s="183"/>
      <c r="AD94" s="250"/>
      <c r="AE94" s="251"/>
      <c r="AH94" s="182"/>
      <c r="AI94" s="183"/>
      <c r="AJ94" s="199"/>
      <c r="AK94" s="200"/>
    </row>
    <row r="95" spans="10:37">
      <c r="J95" s="188" t="s">
        <v>195</v>
      </c>
      <c r="K95" s="189"/>
      <c r="L95" s="145">
        <v>6430</v>
      </c>
      <c r="M95" s="146"/>
      <c r="N95" s="128">
        <f t="shared" si="1"/>
        <v>6.43</v>
      </c>
      <c r="O95" s="128"/>
      <c r="P95" s="143">
        <f t="shared" si="2"/>
        <v>1440.32</v>
      </c>
      <c r="Q95" s="144"/>
      <c r="R95" s="143">
        <f t="shared" si="3"/>
        <v>44649.919999999998</v>
      </c>
      <c r="S95" s="144"/>
      <c r="U95" s="188" t="s">
        <v>195</v>
      </c>
      <c r="V95" s="189"/>
      <c r="W95" s="143">
        <f t="shared" si="0"/>
        <v>1440.32</v>
      </c>
      <c r="X95" s="144"/>
      <c r="Y95" s="143">
        <f t="shared" si="4"/>
        <v>44649.919999999998</v>
      </c>
      <c r="Z95" s="144"/>
      <c r="AB95" s="201" t="s">
        <v>227</v>
      </c>
      <c r="AC95" s="202"/>
      <c r="AD95" s="248">
        <f>AD91*AD93</f>
        <v>51.573087999999998</v>
      </c>
      <c r="AE95" s="249"/>
      <c r="AH95" s="201" t="s">
        <v>231</v>
      </c>
      <c r="AI95" s="202"/>
      <c r="AJ95" s="205">
        <f>ROUNDUP(AJ91*AJ93,0)</f>
        <v>10212</v>
      </c>
      <c r="AK95" s="206"/>
    </row>
    <row r="96" spans="10:37">
      <c r="J96" s="188" t="s">
        <v>196</v>
      </c>
      <c r="K96" s="189"/>
      <c r="L96" s="145">
        <v>6000</v>
      </c>
      <c r="M96" s="146"/>
      <c r="N96" s="128">
        <f t="shared" si="1"/>
        <v>6</v>
      </c>
      <c r="O96" s="128"/>
      <c r="P96" s="143">
        <f t="shared" si="2"/>
        <v>1344</v>
      </c>
      <c r="Q96" s="144"/>
      <c r="R96" s="143">
        <f t="shared" si="3"/>
        <v>41664</v>
      </c>
      <c r="S96" s="144"/>
      <c r="U96" s="188" t="s">
        <v>196</v>
      </c>
      <c r="V96" s="189"/>
      <c r="W96" s="143">
        <f t="shared" si="0"/>
        <v>1344</v>
      </c>
      <c r="X96" s="144"/>
      <c r="Y96" s="143">
        <f t="shared" si="4"/>
        <v>41664</v>
      </c>
      <c r="Z96" s="144"/>
      <c r="AB96" s="203"/>
      <c r="AC96" s="204"/>
      <c r="AD96" s="250"/>
      <c r="AE96" s="251"/>
      <c r="AH96" s="203"/>
      <c r="AI96" s="204"/>
      <c r="AJ96" s="207"/>
      <c r="AK96" s="208"/>
    </row>
    <row r="97" spans="10:36">
      <c r="J97" s="188" t="s">
        <v>197</v>
      </c>
      <c r="K97" s="189"/>
      <c r="L97" s="145">
        <v>5370</v>
      </c>
      <c r="M97" s="146"/>
      <c r="N97" s="128">
        <f t="shared" si="1"/>
        <v>5.37</v>
      </c>
      <c r="O97" s="128"/>
      <c r="P97" s="143">
        <f t="shared" si="2"/>
        <v>1202.8799999999999</v>
      </c>
      <c r="Q97" s="144"/>
      <c r="R97" s="143">
        <f t="shared" si="3"/>
        <v>37289.279999999999</v>
      </c>
      <c r="S97" s="144"/>
      <c r="U97" s="188" t="s">
        <v>197</v>
      </c>
      <c r="V97" s="189"/>
      <c r="W97" s="143">
        <f t="shared" si="0"/>
        <v>1202.8799999999999</v>
      </c>
      <c r="X97" s="144"/>
      <c r="Y97" s="143">
        <f t="shared" si="4"/>
        <v>37289.279999999999</v>
      </c>
      <c r="Z97" s="144"/>
    </row>
    <row r="98" spans="10:36">
      <c r="J98" s="188" t="s">
        <v>198</v>
      </c>
      <c r="K98" s="189"/>
      <c r="L98" s="145">
        <v>4070</v>
      </c>
      <c r="M98" s="146"/>
      <c r="N98" s="128">
        <f t="shared" si="1"/>
        <v>4.07</v>
      </c>
      <c r="O98" s="128"/>
      <c r="P98" s="143">
        <f t="shared" si="2"/>
        <v>911.68</v>
      </c>
      <c r="Q98" s="144"/>
      <c r="R98" s="143">
        <f t="shared" si="3"/>
        <v>28262.079999999998</v>
      </c>
      <c r="S98" s="144"/>
      <c r="U98" s="188" t="s">
        <v>198</v>
      </c>
      <c r="V98" s="189"/>
      <c r="W98" s="143">
        <f t="shared" si="0"/>
        <v>911.68</v>
      </c>
      <c r="X98" s="144"/>
      <c r="Y98" s="143">
        <f t="shared" si="4"/>
        <v>28262.079999999998</v>
      </c>
      <c r="Z98" s="144"/>
      <c r="AB98" s="177" t="s">
        <v>228</v>
      </c>
      <c r="AC98" s="178"/>
    </row>
    <row r="99" spans="10:36">
      <c r="J99" s="188" t="s">
        <v>199</v>
      </c>
      <c r="K99" s="189"/>
      <c r="L99" s="145">
        <v>2510</v>
      </c>
      <c r="M99" s="146"/>
      <c r="N99" s="128">
        <f t="shared" si="1"/>
        <v>2.5100000000000002</v>
      </c>
      <c r="O99" s="128"/>
      <c r="P99" s="143">
        <f t="shared" si="2"/>
        <v>562.24</v>
      </c>
      <c r="Q99" s="144"/>
      <c r="R99" s="143">
        <f t="shared" si="3"/>
        <v>17429.439999999999</v>
      </c>
      <c r="S99" s="144"/>
      <c r="U99" s="188" t="s">
        <v>199</v>
      </c>
      <c r="V99" s="189"/>
      <c r="W99" s="143">
        <f t="shared" si="0"/>
        <v>562.24</v>
      </c>
      <c r="X99" s="144"/>
      <c r="Y99" s="143">
        <f t="shared" si="4"/>
        <v>17429.439999999999</v>
      </c>
      <c r="Z99" s="144"/>
      <c r="AB99" s="52" t="s">
        <v>229</v>
      </c>
      <c r="AC99" s="76">
        <f>V25</f>
        <v>11</v>
      </c>
    </row>
    <row r="100" spans="10:36">
      <c r="J100" s="188" t="s">
        <v>200</v>
      </c>
      <c r="K100" s="189"/>
      <c r="L100" s="145">
        <v>2290</v>
      </c>
      <c r="M100" s="146"/>
      <c r="N100" s="128">
        <f t="shared" si="1"/>
        <v>2.29</v>
      </c>
      <c r="O100" s="128"/>
      <c r="P100" s="143">
        <f t="shared" si="2"/>
        <v>512.95999999999992</v>
      </c>
      <c r="Q100" s="144"/>
      <c r="R100" s="143">
        <f t="shared" si="3"/>
        <v>15901.759999999998</v>
      </c>
      <c r="S100" s="144"/>
      <c r="U100" s="188" t="s">
        <v>200</v>
      </c>
      <c r="V100" s="189"/>
      <c r="W100" s="143">
        <f t="shared" si="0"/>
        <v>512.95999999999992</v>
      </c>
      <c r="X100" s="144"/>
      <c r="Y100" s="143">
        <f t="shared" si="4"/>
        <v>15901.759999999998</v>
      </c>
      <c r="Z100" s="144"/>
      <c r="AB100" s="52" t="s">
        <v>230</v>
      </c>
      <c r="AC100" s="76">
        <f>V26</f>
        <v>18</v>
      </c>
      <c r="AH100" s="235" t="s">
        <v>272</v>
      </c>
      <c r="AI100" s="236"/>
      <c r="AJ100" s="246">
        <f>ROUNDUP(AJ93/365*7,0)</f>
        <v>1399</v>
      </c>
    </row>
    <row r="101" spans="10:36">
      <c r="J101" s="190" t="s">
        <v>210</v>
      </c>
      <c r="K101" s="191"/>
      <c r="L101" s="215">
        <v>4430</v>
      </c>
      <c r="M101" s="215"/>
      <c r="N101" s="215">
        <f t="shared" ref="N101" si="5">L101*10^-3</f>
        <v>4.43</v>
      </c>
      <c r="O101" s="215"/>
      <c r="P101" s="143">
        <f t="shared" si="2"/>
        <v>992.31999999999982</v>
      </c>
      <c r="Q101" s="144"/>
      <c r="R101" s="213">
        <f>P101*30.5</f>
        <v>30265.759999999995</v>
      </c>
      <c r="S101" s="214"/>
      <c r="U101" s="190" t="s">
        <v>210</v>
      </c>
      <c r="V101" s="191"/>
      <c r="W101" s="143">
        <f t="shared" si="0"/>
        <v>992.31999999999982</v>
      </c>
      <c r="X101" s="144"/>
      <c r="Y101" s="143">
        <f t="shared" si="4"/>
        <v>30761.919999999995</v>
      </c>
      <c r="Z101" s="144"/>
      <c r="AB101" s="106" t="s">
        <v>234</v>
      </c>
      <c r="AC101" s="76">
        <f>V27</f>
        <v>198</v>
      </c>
      <c r="AH101" s="237"/>
      <c r="AI101" s="238"/>
      <c r="AJ101" s="246"/>
    </row>
    <row r="102" spans="10:36">
      <c r="P102" s="180" t="s">
        <v>211</v>
      </c>
      <c r="Q102" s="181"/>
      <c r="R102" s="184">
        <f>SUM(R89:S100)</f>
        <v>368379.19999999995</v>
      </c>
      <c r="S102" s="185"/>
      <c r="W102" s="180" t="s">
        <v>211</v>
      </c>
      <c r="X102" s="181"/>
      <c r="Y102" s="184">
        <f>SUM(Y89:Z100)</f>
        <v>368379.19999999995</v>
      </c>
      <c r="Z102" s="185"/>
      <c r="AH102" s="247"/>
      <c r="AI102" s="247"/>
      <c r="AJ102" s="74"/>
    </row>
    <row r="103" spans="10:36">
      <c r="P103" s="182"/>
      <c r="Q103" s="183"/>
      <c r="R103" s="186"/>
      <c r="S103" s="187"/>
      <c r="W103" s="182"/>
      <c r="X103" s="183"/>
      <c r="Y103" s="186"/>
      <c r="Z103" s="187"/>
      <c r="AH103" s="188" t="s">
        <v>295</v>
      </c>
      <c r="AI103" s="189"/>
      <c r="AJ103" s="76">
        <f>V27</f>
        <v>198</v>
      </c>
    </row>
    <row r="104" spans="10:36">
      <c r="AH104" s="179" t="s">
        <v>268</v>
      </c>
      <c r="AI104" s="179"/>
      <c r="AJ104" s="75">
        <v>245</v>
      </c>
    </row>
    <row r="105" spans="10:36">
      <c r="AH105" s="179" t="s">
        <v>296</v>
      </c>
      <c r="AI105" s="179"/>
      <c r="AJ105" s="75">
        <f>AJ104*V27</f>
        <v>48510</v>
      </c>
    </row>
    <row r="106" spans="10:36">
      <c r="AH106" s="179" t="s">
        <v>182</v>
      </c>
      <c r="AI106" s="179"/>
      <c r="AJ106" s="48">
        <f>AJ105/AJ95</f>
        <v>4.7502937720329026</v>
      </c>
    </row>
    <row r="111" spans="10:36">
      <c r="J111" s="6"/>
      <c r="K111" s="6"/>
      <c r="L111" s="216" t="s">
        <v>203</v>
      </c>
      <c r="M111" s="216"/>
      <c r="N111" s="216" t="s">
        <v>201</v>
      </c>
      <c r="O111" s="216"/>
      <c r="P111" s="180" t="s">
        <v>204</v>
      </c>
      <c r="Q111" s="181"/>
      <c r="R111" s="180" t="s">
        <v>209</v>
      </c>
      <c r="S111" s="181"/>
    </row>
    <row r="112" spans="10:36">
      <c r="J112" s="6"/>
      <c r="K112" s="6"/>
      <c r="L112" s="216"/>
      <c r="M112" s="216"/>
      <c r="N112" s="216"/>
      <c r="O112" s="216"/>
      <c r="P112" s="182"/>
      <c r="Q112" s="183"/>
      <c r="R112" s="182"/>
      <c r="S112" s="183"/>
    </row>
    <row r="113" spans="10:19">
      <c r="J113" s="179" t="s">
        <v>189</v>
      </c>
      <c r="K113" s="179"/>
      <c r="L113" s="145">
        <v>2630</v>
      </c>
      <c r="M113" s="146"/>
      <c r="N113" s="128">
        <f>L113*10^-3</f>
        <v>2.63</v>
      </c>
      <c r="O113" s="128"/>
      <c r="P113" s="143">
        <f>N113*$E$8*($E$11/100)</f>
        <v>589.11999999999989</v>
      </c>
      <c r="Q113" s="144"/>
      <c r="R113" s="143">
        <f>P113*31</f>
        <v>18262.719999999998</v>
      </c>
      <c r="S113" s="144"/>
    </row>
    <row r="114" spans="10:19">
      <c r="J114" s="188" t="s">
        <v>190</v>
      </c>
      <c r="K114" s="189"/>
      <c r="L114" s="145">
        <v>3330</v>
      </c>
      <c r="M114" s="146"/>
      <c r="N114" s="128">
        <f t="shared" ref="N114:N125" si="6">L114*10^-3</f>
        <v>3.33</v>
      </c>
      <c r="O114" s="128"/>
      <c r="P114" s="143">
        <f t="shared" ref="P114:P125" si="7">N114*$E$8*($E$11/100)</f>
        <v>745.91999999999985</v>
      </c>
      <c r="Q114" s="144"/>
      <c r="R114" s="143">
        <f t="shared" ref="R114:R125" si="8">P114*31</f>
        <v>23123.519999999997</v>
      </c>
      <c r="S114" s="144"/>
    </row>
    <row r="115" spans="10:19">
      <c r="J115" s="188" t="s">
        <v>191</v>
      </c>
      <c r="K115" s="189"/>
      <c r="L115" s="145">
        <v>4660</v>
      </c>
      <c r="M115" s="146"/>
      <c r="N115" s="128">
        <f t="shared" si="6"/>
        <v>4.66</v>
      </c>
      <c r="O115" s="128"/>
      <c r="P115" s="143">
        <f t="shared" si="7"/>
        <v>1043.8399999999999</v>
      </c>
      <c r="Q115" s="144"/>
      <c r="R115" s="143">
        <f t="shared" si="8"/>
        <v>32359.039999999997</v>
      </c>
      <c r="S115" s="144"/>
    </row>
    <row r="116" spans="10:19">
      <c r="J116" s="188" t="s">
        <v>192</v>
      </c>
      <c r="K116" s="189"/>
      <c r="L116" s="145">
        <v>4550</v>
      </c>
      <c r="M116" s="146"/>
      <c r="N116" s="128">
        <f t="shared" si="6"/>
        <v>4.55</v>
      </c>
      <c r="O116" s="128"/>
      <c r="P116" s="143">
        <f t="shared" si="7"/>
        <v>1019.1999999999999</v>
      </c>
      <c r="Q116" s="144"/>
      <c r="R116" s="143">
        <f t="shared" si="8"/>
        <v>31595.199999999997</v>
      </c>
      <c r="S116" s="144"/>
    </row>
    <row r="117" spans="10:19">
      <c r="J117" s="188" t="s">
        <v>193</v>
      </c>
      <c r="K117" s="189"/>
      <c r="L117" s="145">
        <v>4770</v>
      </c>
      <c r="M117" s="146"/>
      <c r="N117" s="128">
        <f t="shared" si="6"/>
        <v>4.7700000000000005</v>
      </c>
      <c r="O117" s="128"/>
      <c r="P117" s="143">
        <f t="shared" si="7"/>
        <v>1068.48</v>
      </c>
      <c r="Q117" s="144"/>
      <c r="R117" s="143">
        <f t="shared" si="8"/>
        <v>33122.879999999997</v>
      </c>
      <c r="S117" s="144"/>
    </row>
    <row r="118" spans="10:19">
      <c r="J118" s="188" t="s">
        <v>194</v>
      </c>
      <c r="K118" s="189"/>
      <c r="L118" s="145">
        <v>5070</v>
      </c>
      <c r="M118" s="146"/>
      <c r="N118" s="128">
        <f t="shared" si="6"/>
        <v>5.07</v>
      </c>
      <c r="O118" s="128"/>
      <c r="P118" s="143">
        <f t="shared" si="7"/>
        <v>1135.68</v>
      </c>
      <c r="Q118" s="144"/>
      <c r="R118" s="143">
        <f t="shared" si="8"/>
        <v>35206.080000000002</v>
      </c>
      <c r="S118" s="144"/>
    </row>
    <row r="119" spans="10:19">
      <c r="J119" s="188" t="s">
        <v>195</v>
      </c>
      <c r="K119" s="189"/>
      <c r="L119" s="145">
        <v>5560</v>
      </c>
      <c r="M119" s="146"/>
      <c r="N119" s="128">
        <f t="shared" si="6"/>
        <v>5.5600000000000005</v>
      </c>
      <c r="O119" s="128"/>
      <c r="P119" s="143">
        <f t="shared" si="7"/>
        <v>1245.44</v>
      </c>
      <c r="Q119" s="144"/>
      <c r="R119" s="143">
        <f t="shared" si="8"/>
        <v>38608.639999999999</v>
      </c>
      <c r="S119" s="144"/>
    </row>
    <row r="120" spans="10:19">
      <c r="J120" s="188" t="s">
        <v>196</v>
      </c>
      <c r="K120" s="189"/>
      <c r="L120" s="145">
        <v>5480</v>
      </c>
      <c r="M120" s="146"/>
      <c r="N120" s="128">
        <f t="shared" si="6"/>
        <v>5.48</v>
      </c>
      <c r="O120" s="128"/>
      <c r="P120" s="143">
        <f t="shared" si="7"/>
        <v>1227.52</v>
      </c>
      <c r="Q120" s="144"/>
      <c r="R120" s="143">
        <f t="shared" si="8"/>
        <v>38053.120000000003</v>
      </c>
      <c r="S120" s="144"/>
    </row>
    <row r="121" spans="10:19">
      <c r="J121" s="188" t="s">
        <v>197</v>
      </c>
      <c r="K121" s="189"/>
      <c r="L121" s="145">
        <v>5280</v>
      </c>
      <c r="M121" s="146"/>
      <c r="N121" s="128">
        <f t="shared" si="6"/>
        <v>5.28</v>
      </c>
      <c r="O121" s="128"/>
      <c r="P121" s="143">
        <f t="shared" si="7"/>
        <v>1182.72</v>
      </c>
      <c r="Q121" s="144"/>
      <c r="R121" s="143">
        <f t="shared" si="8"/>
        <v>36664.32</v>
      </c>
      <c r="S121" s="144"/>
    </row>
    <row r="122" spans="10:19">
      <c r="J122" s="188" t="s">
        <v>198</v>
      </c>
      <c r="K122" s="189"/>
      <c r="L122" s="145">
        <v>4260</v>
      </c>
      <c r="M122" s="146"/>
      <c r="N122" s="128">
        <f t="shared" si="6"/>
        <v>4.26</v>
      </c>
      <c r="O122" s="128"/>
      <c r="P122" s="143">
        <f t="shared" si="7"/>
        <v>954.23999999999978</v>
      </c>
      <c r="Q122" s="144"/>
      <c r="R122" s="143">
        <f t="shared" si="8"/>
        <v>29581.439999999995</v>
      </c>
      <c r="S122" s="144"/>
    </row>
    <row r="123" spans="10:19">
      <c r="J123" s="188" t="s">
        <v>199</v>
      </c>
      <c r="K123" s="189"/>
      <c r="L123" s="145">
        <v>2730</v>
      </c>
      <c r="M123" s="146"/>
      <c r="N123" s="128">
        <f t="shared" si="6"/>
        <v>2.73</v>
      </c>
      <c r="O123" s="128"/>
      <c r="P123" s="143">
        <f t="shared" si="7"/>
        <v>611.52</v>
      </c>
      <c r="Q123" s="144"/>
      <c r="R123" s="143">
        <f t="shared" si="8"/>
        <v>18957.12</v>
      </c>
      <c r="S123" s="144"/>
    </row>
    <row r="124" spans="10:19">
      <c r="J124" s="188" t="s">
        <v>200</v>
      </c>
      <c r="K124" s="189"/>
      <c r="L124" s="145">
        <v>250</v>
      </c>
      <c r="M124" s="146"/>
      <c r="N124" s="128">
        <f t="shared" si="6"/>
        <v>0.25</v>
      </c>
      <c r="O124" s="128"/>
      <c r="P124" s="143">
        <f t="shared" si="7"/>
        <v>56</v>
      </c>
      <c r="Q124" s="144"/>
      <c r="R124" s="143">
        <f t="shared" si="8"/>
        <v>1736</v>
      </c>
      <c r="S124" s="144"/>
    </row>
    <row r="125" spans="10:19">
      <c r="J125" s="190" t="s">
        <v>202</v>
      </c>
      <c r="K125" s="191"/>
      <c r="L125" s="215">
        <v>4250</v>
      </c>
      <c r="M125" s="215"/>
      <c r="N125" s="215">
        <f t="shared" si="6"/>
        <v>4.25</v>
      </c>
      <c r="O125" s="215"/>
      <c r="P125" s="143">
        <f t="shared" si="7"/>
        <v>951.99999999999989</v>
      </c>
      <c r="Q125" s="144"/>
      <c r="R125" s="213">
        <f t="shared" si="8"/>
        <v>29511.999999999996</v>
      </c>
      <c r="S125" s="214"/>
    </row>
    <row r="126" spans="10:19">
      <c r="P126" s="180" t="s">
        <v>211</v>
      </c>
      <c r="Q126" s="181"/>
      <c r="R126" s="184">
        <f>SUM(R113:S124)</f>
        <v>337270.08</v>
      </c>
      <c r="S126" s="185"/>
    </row>
    <row r="127" spans="10:19">
      <c r="P127" s="182"/>
      <c r="Q127" s="183"/>
      <c r="R127" s="186"/>
      <c r="S127" s="187"/>
    </row>
  </sheetData>
  <mergeCells count="254">
    <mergeCell ref="R25:S25"/>
    <mergeCell ref="R26:S26"/>
    <mergeCell ref="R27:S27"/>
    <mergeCell ref="R28:S28"/>
    <mergeCell ref="U24:V24"/>
    <mergeCell ref="AJ100:AJ101"/>
    <mergeCell ref="AH103:AI103"/>
    <mergeCell ref="AH102:AI102"/>
    <mergeCell ref="AB93:AC94"/>
    <mergeCell ref="AD93:AE94"/>
    <mergeCell ref="AB91:AC92"/>
    <mergeCell ref="AD91:AE92"/>
    <mergeCell ref="AB95:AC96"/>
    <mergeCell ref="AD95:AE96"/>
    <mergeCell ref="AB89:AB90"/>
    <mergeCell ref="AC89:AC90"/>
    <mergeCell ref="R87:S88"/>
    <mergeCell ref="R89:S89"/>
    <mergeCell ref="R90:S90"/>
    <mergeCell ref="R91:S91"/>
    <mergeCell ref="R92:S92"/>
    <mergeCell ref="AH89:AH90"/>
    <mergeCell ref="AI89:AI90"/>
    <mergeCell ref="AH91:AI92"/>
    <mergeCell ref="C14:D14"/>
    <mergeCell ref="E14:F14"/>
    <mergeCell ref="E25:F25"/>
    <mergeCell ref="E27:F27"/>
    <mergeCell ref="B20:I22"/>
    <mergeCell ref="B25:C25"/>
    <mergeCell ref="AH100:AI101"/>
    <mergeCell ref="C7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R29:S29"/>
    <mergeCell ref="R30:S30"/>
    <mergeCell ref="R31:S31"/>
    <mergeCell ref="Q24:S24"/>
    <mergeCell ref="R33:S33"/>
    <mergeCell ref="R32:S32"/>
    <mergeCell ref="J92:K92"/>
    <mergeCell ref="L87:M88"/>
    <mergeCell ref="L89:M89"/>
    <mergeCell ref="L90:M90"/>
    <mergeCell ref="L91:M91"/>
    <mergeCell ref="L92:M92"/>
    <mergeCell ref="B51:C51"/>
    <mergeCell ref="J89:K89"/>
    <mergeCell ref="J90:K90"/>
    <mergeCell ref="J91:K91"/>
    <mergeCell ref="B39:I41"/>
    <mergeCell ref="B45:C45"/>
    <mergeCell ref="H45:I45"/>
    <mergeCell ref="N87:O88"/>
    <mergeCell ref="N89:O89"/>
    <mergeCell ref="N90:O90"/>
    <mergeCell ref="N91:O91"/>
    <mergeCell ref="N92:O92"/>
    <mergeCell ref="L93:M93"/>
    <mergeCell ref="L94:M94"/>
    <mergeCell ref="L95:M95"/>
    <mergeCell ref="B52:C52"/>
    <mergeCell ref="H51:I51"/>
    <mergeCell ref="H52:I52"/>
    <mergeCell ref="B28:C28"/>
    <mergeCell ref="B31:C31"/>
    <mergeCell ref="E28:F28"/>
    <mergeCell ref="E31:F31"/>
    <mergeCell ref="B29:C29"/>
    <mergeCell ref="J93:K93"/>
    <mergeCell ref="J113:K113"/>
    <mergeCell ref="L113:M113"/>
    <mergeCell ref="J94:K94"/>
    <mergeCell ref="J95:K95"/>
    <mergeCell ref="J96:K96"/>
    <mergeCell ref="J97:K97"/>
    <mergeCell ref="J118:K118"/>
    <mergeCell ref="L118:M118"/>
    <mergeCell ref="J117:K117"/>
    <mergeCell ref="L117:M117"/>
    <mergeCell ref="L116:M116"/>
    <mergeCell ref="N115:O115"/>
    <mergeCell ref="J116:K116"/>
    <mergeCell ref="B58:C58"/>
    <mergeCell ref="H58:I58"/>
    <mergeCell ref="J98:K98"/>
    <mergeCell ref="L99:M99"/>
    <mergeCell ref="L100:M100"/>
    <mergeCell ref="J122:K122"/>
    <mergeCell ref="J123:K123"/>
    <mergeCell ref="N100:O100"/>
    <mergeCell ref="L98:M98"/>
    <mergeCell ref="J99:K99"/>
    <mergeCell ref="J100:K100"/>
    <mergeCell ref="J119:K119"/>
    <mergeCell ref="N119:O119"/>
    <mergeCell ref="N120:O120"/>
    <mergeCell ref="N121:O121"/>
    <mergeCell ref="N122:O122"/>
    <mergeCell ref="L96:M96"/>
    <mergeCell ref="L97:M97"/>
    <mergeCell ref="L120:M120"/>
    <mergeCell ref="L121:M121"/>
    <mergeCell ref="J120:K120"/>
    <mergeCell ref="J121:K121"/>
    <mergeCell ref="N98:O98"/>
    <mergeCell ref="N99:O99"/>
    <mergeCell ref="J125:K125"/>
    <mergeCell ref="L125:M125"/>
    <mergeCell ref="N125:O125"/>
    <mergeCell ref="N113:O113"/>
    <mergeCell ref="J114:K114"/>
    <mergeCell ref="L114:M114"/>
    <mergeCell ref="N114:O114"/>
    <mergeCell ref="J101:K101"/>
    <mergeCell ref="L101:M101"/>
    <mergeCell ref="N101:O101"/>
    <mergeCell ref="L111:M112"/>
    <mergeCell ref="N111:O112"/>
    <mergeCell ref="L124:M124"/>
    <mergeCell ref="N123:O123"/>
    <mergeCell ref="N124:O124"/>
    <mergeCell ref="L119:M119"/>
    <mergeCell ref="N116:O116"/>
    <mergeCell ref="J124:K124"/>
    <mergeCell ref="L122:M122"/>
    <mergeCell ref="L123:M123"/>
    <mergeCell ref="J115:K115"/>
    <mergeCell ref="L115:M115"/>
    <mergeCell ref="P126:Q127"/>
    <mergeCell ref="R126:S127"/>
    <mergeCell ref="P122:Q122"/>
    <mergeCell ref="R122:S122"/>
    <mergeCell ref="P123:Q123"/>
    <mergeCell ref="R123:S123"/>
    <mergeCell ref="P124:Q124"/>
    <mergeCell ref="R124:S124"/>
    <mergeCell ref="R93:S93"/>
    <mergeCell ref="R94:S94"/>
    <mergeCell ref="R95:S95"/>
    <mergeCell ref="P97:Q97"/>
    <mergeCell ref="P98:Q98"/>
    <mergeCell ref="P99:Q99"/>
    <mergeCell ref="P100:Q100"/>
    <mergeCell ref="P93:Q93"/>
    <mergeCell ref="P94:Q94"/>
    <mergeCell ref="P95:Q95"/>
    <mergeCell ref="P96:Q96"/>
    <mergeCell ref="R96:S96"/>
    <mergeCell ref="R97:S97"/>
    <mergeCell ref="R98:S98"/>
    <mergeCell ref="R99:S99"/>
    <mergeCell ref="R100:S100"/>
    <mergeCell ref="P121:Q121"/>
    <mergeCell ref="R121:S121"/>
    <mergeCell ref="P116:Q116"/>
    <mergeCell ref="R116:S116"/>
    <mergeCell ref="P117:Q117"/>
    <mergeCell ref="R117:S117"/>
    <mergeCell ref="P118:Q118"/>
    <mergeCell ref="R118:S118"/>
    <mergeCell ref="P125:Q125"/>
    <mergeCell ref="R125:S125"/>
    <mergeCell ref="P87:Q88"/>
    <mergeCell ref="P89:Q89"/>
    <mergeCell ref="P90:Q90"/>
    <mergeCell ref="P91:Q91"/>
    <mergeCell ref="P92:Q92"/>
    <mergeCell ref="N117:O117"/>
    <mergeCell ref="N118:O118"/>
    <mergeCell ref="P101:Q101"/>
    <mergeCell ref="R113:S113"/>
    <mergeCell ref="P114:Q114"/>
    <mergeCell ref="R114:S114"/>
    <mergeCell ref="P115:Q115"/>
    <mergeCell ref="R115:S115"/>
    <mergeCell ref="R101:S101"/>
    <mergeCell ref="P102:Q103"/>
    <mergeCell ref="R102:S103"/>
    <mergeCell ref="P111:Q112"/>
    <mergeCell ref="R111:S112"/>
    <mergeCell ref="P113:Q113"/>
    <mergeCell ref="N93:O93"/>
    <mergeCell ref="N94:O94"/>
    <mergeCell ref="N95:O95"/>
    <mergeCell ref="N96:O96"/>
    <mergeCell ref="N97:O97"/>
    <mergeCell ref="AJ91:AK92"/>
    <mergeCell ref="AH93:AI94"/>
    <mergeCell ref="AJ93:AK94"/>
    <mergeCell ref="AH95:AI96"/>
    <mergeCell ref="AJ95:AK96"/>
    <mergeCell ref="AJ89:AK90"/>
    <mergeCell ref="P119:Q119"/>
    <mergeCell ref="R119:S119"/>
    <mergeCell ref="P120:Q120"/>
    <mergeCell ref="R120:S120"/>
    <mergeCell ref="Y95:Z95"/>
    <mergeCell ref="W96:X96"/>
    <mergeCell ref="Y96:Z96"/>
    <mergeCell ref="W97:X97"/>
    <mergeCell ref="Y97:Z97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Y100:Z100"/>
    <mergeCell ref="W101:X101"/>
    <mergeCell ref="Y101:Z101"/>
    <mergeCell ref="W102:X103"/>
    <mergeCell ref="Y102:Z103"/>
    <mergeCell ref="U98:V98"/>
    <mergeCell ref="U99:V99"/>
    <mergeCell ref="U100:V100"/>
    <mergeCell ref="U101:V101"/>
    <mergeCell ref="AB98:AC98"/>
    <mergeCell ref="AH105:AI105"/>
    <mergeCell ref="AH106:AI106"/>
    <mergeCell ref="AH104:AI104"/>
    <mergeCell ref="W98:X98"/>
    <mergeCell ref="Y98:Z98"/>
    <mergeCell ref="W99:X99"/>
    <mergeCell ref="Y99:Z99"/>
    <mergeCell ref="W87:X88"/>
    <mergeCell ref="Y87:Z88"/>
    <mergeCell ref="W89:X89"/>
    <mergeCell ref="Y89:Z89"/>
    <mergeCell ref="W90:X90"/>
    <mergeCell ref="Y90:Z90"/>
    <mergeCell ref="W91:X91"/>
    <mergeCell ref="Y91:Z91"/>
    <mergeCell ref="W92:X92"/>
    <mergeCell ref="Y92:Z92"/>
    <mergeCell ref="W93:X93"/>
    <mergeCell ref="Y93:Z93"/>
    <mergeCell ref="W94:X94"/>
    <mergeCell ref="Y94:Z94"/>
    <mergeCell ref="W95:X95"/>
    <mergeCell ref="W100:X100"/>
  </mergeCells>
  <pageMargins left="0.7" right="0.7" top="0.75" bottom="0.75" header="0.3" footer="0.3"/>
  <pageSetup paperSize="9" orientation="portrait" horizontalDpi="300" verticalDpi="300" r:id="rId1"/>
  <ignoredErrors>
    <ignoredError sqref="R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="50" zoomScaleNormal="50" workbookViewId="0">
      <selection activeCell="H36" sqref="H36"/>
    </sheetView>
  </sheetViews>
  <sheetFormatPr baseColWidth="10" defaultRowHeight="15"/>
  <cols>
    <col min="2" max="2" width="15.42578125" customWidth="1"/>
    <col min="3" max="3" width="13.7109375" customWidth="1"/>
    <col min="4" max="4" width="13.42578125" customWidth="1"/>
    <col min="5" max="5" width="13.5703125" customWidth="1"/>
    <col min="6" max="6" width="13.7109375" customWidth="1"/>
    <col min="7" max="7" width="13.85546875" customWidth="1"/>
    <col min="8" max="8" width="14.140625" customWidth="1"/>
    <col min="9" max="9" width="13.28515625" customWidth="1"/>
    <col min="10" max="10" width="12.7109375" customWidth="1"/>
    <col min="11" max="11" width="14.28515625" customWidth="1"/>
    <col min="12" max="12" width="14" customWidth="1"/>
    <col min="13" max="13" width="13.7109375" customWidth="1"/>
    <col min="14" max="14" width="13.42578125" customWidth="1"/>
    <col min="15" max="15" width="13.28515625" customWidth="1"/>
  </cols>
  <sheetData>
    <row r="2" spans="1:13">
      <c r="B2" s="268" t="s">
        <v>315</v>
      </c>
      <c r="C2" s="269"/>
      <c r="F2" s="268" t="s">
        <v>316</v>
      </c>
      <c r="G2" s="269"/>
      <c r="J2" s="268" t="s">
        <v>317</v>
      </c>
      <c r="K2" s="269"/>
    </row>
    <row r="3" spans="1:13">
      <c r="B3" s="121" t="s">
        <v>314</v>
      </c>
      <c r="C3" s="123"/>
      <c r="D3" s="85">
        <f>SUM('EST. OFICIAL'!T11:U17)</f>
        <v>82045.263999999996</v>
      </c>
      <c r="E3" s="6"/>
      <c r="F3" s="121" t="s">
        <v>314</v>
      </c>
      <c r="G3" s="123"/>
      <c r="H3" s="85">
        <f>ATLAS!N69/7</f>
        <v>30889.285714285714</v>
      </c>
      <c r="I3" s="6"/>
      <c r="J3" s="121" t="s">
        <v>314</v>
      </c>
      <c r="K3" s="123"/>
      <c r="L3" s="85">
        <f>SPINNING!I24/7</f>
        <v>6456.5714285714284</v>
      </c>
      <c r="M3" s="6"/>
    </row>
    <row r="5" spans="1:13" ht="15" customHeight="1"/>
    <row r="6" spans="1:13">
      <c r="B6" s="128" t="s">
        <v>247</v>
      </c>
      <c r="C6" s="128"/>
      <c r="D6" s="128"/>
      <c r="E6" s="59"/>
      <c r="F6" s="128" t="s">
        <v>247</v>
      </c>
      <c r="G6" s="128"/>
      <c r="H6" s="128"/>
      <c r="I6" s="59"/>
      <c r="J6" s="128" t="s">
        <v>247</v>
      </c>
      <c r="K6" s="128"/>
      <c r="L6" s="128"/>
      <c r="M6" s="59"/>
    </row>
    <row r="7" spans="1:13" ht="15" customHeight="1">
      <c r="B7" s="266" t="s">
        <v>257</v>
      </c>
      <c r="C7" s="267"/>
      <c r="F7" s="266" t="s">
        <v>257</v>
      </c>
      <c r="G7" s="267"/>
      <c r="J7" s="266" t="s">
        <v>257</v>
      </c>
      <c r="K7" s="267"/>
    </row>
    <row r="8" spans="1:13">
      <c r="B8" s="263" t="s">
        <v>248</v>
      </c>
      <c r="C8" s="264"/>
      <c r="D8" s="4">
        <v>24</v>
      </c>
      <c r="F8" s="263" t="s">
        <v>248</v>
      </c>
      <c r="G8" s="264"/>
      <c r="H8" s="4">
        <v>24</v>
      </c>
      <c r="J8" s="263" t="s">
        <v>248</v>
      </c>
      <c r="K8" s="264"/>
      <c r="L8" s="4">
        <v>24</v>
      </c>
    </row>
    <row r="9" spans="1:13">
      <c r="B9" s="263" t="s">
        <v>249</v>
      </c>
      <c r="C9" s="264"/>
      <c r="D9" s="4">
        <v>550</v>
      </c>
      <c r="F9" s="263" t="s">
        <v>249</v>
      </c>
      <c r="G9" s="264"/>
      <c r="H9" s="4">
        <v>550</v>
      </c>
      <c r="J9" s="263" t="s">
        <v>249</v>
      </c>
      <c r="K9" s="264"/>
      <c r="L9" s="4">
        <v>550</v>
      </c>
    </row>
    <row r="10" spans="1:13">
      <c r="B10" s="263" t="s">
        <v>252</v>
      </c>
      <c r="C10" s="264"/>
      <c r="D10" s="78">
        <v>0.8</v>
      </c>
      <c r="F10" s="263" t="s">
        <v>252</v>
      </c>
      <c r="G10" s="264"/>
      <c r="H10" s="78">
        <v>0.8</v>
      </c>
      <c r="J10" s="263" t="s">
        <v>252</v>
      </c>
      <c r="K10" s="264"/>
      <c r="L10" s="78">
        <v>0.8</v>
      </c>
    </row>
    <row r="11" spans="1:13">
      <c r="A11" s="31"/>
      <c r="B11" s="168" t="s">
        <v>250</v>
      </c>
      <c r="C11" s="168"/>
      <c r="D11" s="97">
        <v>1375</v>
      </c>
      <c r="E11" s="31"/>
      <c r="F11" s="168" t="s">
        <v>250</v>
      </c>
      <c r="G11" s="168"/>
      <c r="H11" s="97">
        <v>1375</v>
      </c>
      <c r="I11" s="31"/>
      <c r="J11" s="168" t="s">
        <v>250</v>
      </c>
      <c r="K11" s="168"/>
      <c r="L11" s="97">
        <v>1375</v>
      </c>
      <c r="M11" s="31"/>
    </row>
    <row r="12" spans="1:13">
      <c r="A12" s="31"/>
      <c r="B12" s="15"/>
      <c r="C12" s="15"/>
      <c r="D12" s="31"/>
      <c r="E12" s="31"/>
      <c r="F12" s="98"/>
      <c r="G12" s="98"/>
      <c r="H12" s="86"/>
      <c r="I12" s="31"/>
      <c r="J12" s="98"/>
      <c r="K12" s="98"/>
      <c r="L12" s="86"/>
      <c r="M12" s="31"/>
    </row>
    <row r="13" spans="1:13">
      <c r="A13" s="31"/>
      <c r="B13" s="6"/>
      <c r="C13" s="6"/>
      <c r="D13" s="31"/>
      <c r="E13" s="31"/>
      <c r="F13" s="86"/>
      <c r="G13" s="86"/>
      <c r="H13" s="86"/>
      <c r="I13" s="31"/>
      <c r="J13" s="86"/>
      <c r="K13" s="86"/>
      <c r="L13" s="86"/>
      <c r="M13" s="31"/>
    </row>
    <row r="14" spans="1:13">
      <c r="A14" s="31"/>
      <c r="B14" s="31"/>
      <c r="C14" s="31"/>
      <c r="D14" s="31"/>
      <c r="E14" s="31"/>
      <c r="F14" s="86"/>
      <c r="G14" s="86"/>
      <c r="H14" s="86"/>
      <c r="I14" s="31"/>
      <c r="J14" s="86"/>
      <c r="K14" s="86"/>
      <c r="L14" s="86"/>
      <c r="M14" s="31"/>
    </row>
    <row r="15" spans="1:13">
      <c r="B15" s="145" t="s">
        <v>251</v>
      </c>
      <c r="C15" s="265"/>
      <c r="D15" s="146"/>
      <c r="F15" s="145" t="s">
        <v>251</v>
      </c>
      <c r="G15" s="265"/>
      <c r="H15" s="146"/>
      <c r="J15" s="145" t="s">
        <v>251</v>
      </c>
      <c r="K15" s="265"/>
      <c r="L15" s="146"/>
    </row>
    <row r="16" spans="1:13">
      <c r="B16" s="266" t="s">
        <v>246</v>
      </c>
      <c r="C16" s="267"/>
      <c r="F16" s="266" t="s">
        <v>246</v>
      </c>
      <c r="G16" s="267"/>
      <c r="H16" s="39"/>
      <c r="J16" s="266" t="s">
        <v>246</v>
      </c>
      <c r="K16" s="267"/>
      <c r="L16" s="39"/>
    </row>
    <row r="17" spans="2:12">
      <c r="B17" s="263" t="s">
        <v>261</v>
      </c>
      <c r="C17" s="264"/>
      <c r="D17" s="76">
        <f>ROUNDUP((D3/D8)*D21,0)</f>
        <v>10256</v>
      </c>
      <c r="F17" s="263" t="s">
        <v>261</v>
      </c>
      <c r="G17" s="264"/>
      <c r="H17" s="76">
        <f>ROUNDUP((H3/H8)*H21,0)</f>
        <v>3862</v>
      </c>
      <c r="J17" s="263" t="s">
        <v>261</v>
      </c>
      <c r="K17" s="264"/>
      <c r="L17" s="76">
        <f>ROUNDUP((L3/L8)*L21,0)</f>
        <v>808</v>
      </c>
    </row>
    <row r="18" spans="2:12">
      <c r="B18" s="263" t="s">
        <v>254</v>
      </c>
      <c r="C18" s="264"/>
      <c r="D18" s="76">
        <f>ROUND(D17/D10,0)</f>
        <v>12820</v>
      </c>
      <c r="F18" s="263" t="s">
        <v>254</v>
      </c>
      <c r="G18" s="264"/>
      <c r="H18" s="76">
        <f>ROUND(H17/H10,0)</f>
        <v>4828</v>
      </c>
      <c r="J18" s="263" t="s">
        <v>254</v>
      </c>
      <c r="K18" s="264"/>
      <c r="L18" s="76">
        <f>ROUND(L17/L10,0)</f>
        <v>1010</v>
      </c>
    </row>
    <row r="19" spans="2:12">
      <c r="B19" s="263" t="s">
        <v>252</v>
      </c>
      <c r="C19" s="264"/>
      <c r="D19" s="78">
        <f>D10</f>
        <v>0.8</v>
      </c>
      <c r="F19" s="263" t="s">
        <v>252</v>
      </c>
      <c r="G19" s="264"/>
      <c r="H19" s="78">
        <f>H10</f>
        <v>0.8</v>
      </c>
      <c r="J19" s="263" t="s">
        <v>252</v>
      </c>
      <c r="K19" s="264"/>
      <c r="L19" s="78">
        <f>L10</f>
        <v>0.8</v>
      </c>
    </row>
    <row r="20" spans="2:12">
      <c r="B20" s="263" t="s">
        <v>253</v>
      </c>
      <c r="C20" s="264"/>
      <c r="D20" s="4">
        <v>1</v>
      </c>
      <c r="F20" s="263" t="s">
        <v>253</v>
      </c>
      <c r="G20" s="264"/>
      <c r="H20" s="4">
        <v>1</v>
      </c>
      <c r="J20" s="263" t="s">
        <v>253</v>
      </c>
      <c r="K20" s="264"/>
      <c r="L20" s="4">
        <v>1</v>
      </c>
    </row>
    <row r="21" spans="2:12">
      <c r="B21" s="263" t="s">
        <v>255</v>
      </c>
      <c r="C21" s="264"/>
      <c r="D21" s="4">
        <v>3</v>
      </c>
      <c r="F21" s="263" t="s">
        <v>255</v>
      </c>
      <c r="G21" s="264"/>
      <c r="H21" s="4">
        <v>3</v>
      </c>
      <c r="J21" s="263" t="s">
        <v>255</v>
      </c>
      <c r="K21" s="264"/>
      <c r="L21" s="4">
        <v>3</v>
      </c>
    </row>
    <row r="22" spans="2:12">
      <c r="D22" s="39"/>
      <c r="F22" s="39"/>
      <c r="G22" s="39"/>
      <c r="H22" s="39"/>
      <c r="J22" s="39"/>
      <c r="K22" s="39"/>
      <c r="L22" s="39"/>
    </row>
    <row r="23" spans="2:12">
      <c r="D23" s="39"/>
      <c r="F23" s="39"/>
      <c r="G23" s="39"/>
      <c r="H23" s="39"/>
      <c r="J23" s="39"/>
      <c r="K23" s="39"/>
      <c r="L23" s="39"/>
    </row>
    <row r="24" spans="2:12">
      <c r="D24" s="39"/>
      <c r="F24" s="39"/>
      <c r="G24" s="39"/>
      <c r="H24" s="39"/>
      <c r="J24" s="39"/>
      <c r="K24" s="39"/>
      <c r="L24" s="39"/>
    </row>
    <row r="25" spans="2:12">
      <c r="B25" s="263" t="s">
        <v>258</v>
      </c>
      <c r="C25" s="264"/>
      <c r="D25" s="85">
        <f>ROUNDUP(D18/D9,0)</f>
        <v>24</v>
      </c>
      <c r="F25" s="263" t="s">
        <v>258</v>
      </c>
      <c r="G25" s="264"/>
      <c r="H25" s="85">
        <f>ROUNDUP(H18/H9,0)</f>
        <v>9</v>
      </c>
      <c r="J25" s="263" t="s">
        <v>258</v>
      </c>
      <c r="K25" s="264"/>
      <c r="L25" s="85">
        <f>ROUNDUP(L18/L9,0)</f>
        <v>2</v>
      </c>
    </row>
    <row r="26" spans="2:12">
      <c r="B26" s="263" t="s">
        <v>259</v>
      </c>
      <c r="C26" s="264"/>
      <c r="D26" s="84">
        <f>24/D8</f>
        <v>1</v>
      </c>
      <c r="F26" s="263" t="s">
        <v>259</v>
      </c>
      <c r="G26" s="264"/>
      <c r="H26" s="84">
        <f>24/H8</f>
        <v>1</v>
      </c>
      <c r="J26" s="263" t="s">
        <v>259</v>
      </c>
      <c r="K26" s="264"/>
      <c r="L26" s="84">
        <f>24/L8</f>
        <v>1</v>
      </c>
    </row>
    <row r="27" spans="2:12">
      <c r="D27" s="39"/>
      <c r="F27" s="39"/>
      <c r="G27" s="39"/>
      <c r="H27" s="39"/>
      <c r="J27" s="39"/>
      <c r="K27" s="39"/>
      <c r="L27" s="39"/>
    </row>
    <row r="28" spans="2:12">
      <c r="D28" s="39"/>
      <c r="F28" s="39"/>
      <c r="G28" s="39"/>
      <c r="H28" s="39"/>
      <c r="J28" s="39"/>
      <c r="K28" s="39"/>
      <c r="L28" s="39"/>
    </row>
    <row r="29" spans="2:12">
      <c r="B29" s="173" t="s">
        <v>256</v>
      </c>
      <c r="C29" s="173"/>
      <c r="D29" s="39"/>
      <c r="F29" s="173" t="s">
        <v>256</v>
      </c>
      <c r="G29" s="173"/>
      <c r="H29" s="39"/>
      <c r="J29" s="173" t="s">
        <v>256</v>
      </c>
      <c r="K29" s="173"/>
      <c r="L29" s="39"/>
    </row>
    <row r="30" spans="2:12">
      <c r="B30" s="262" t="s">
        <v>260</v>
      </c>
      <c r="C30" s="262"/>
      <c r="D30" s="87">
        <f>D11*D25</f>
        <v>33000</v>
      </c>
      <c r="F30" s="262" t="s">
        <v>260</v>
      </c>
      <c r="G30" s="262"/>
      <c r="H30" s="87">
        <f>H11*H25</f>
        <v>12375</v>
      </c>
      <c r="J30" s="262" t="s">
        <v>260</v>
      </c>
      <c r="K30" s="262"/>
      <c r="L30" s="87">
        <f>L11*L25</f>
        <v>2750</v>
      </c>
    </row>
  </sheetData>
  <mergeCells count="57">
    <mergeCell ref="B30:C30"/>
    <mergeCell ref="B29:C29"/>
    <mergeCell ref="B7:C7"/>
    <mergeCell ref="B8:C8"/>
    <mergeCell ref="B9:C9"/>
    <mergeCell ref="B18:C18"/>
    <mergeCell ref="B19:C19"/>
    <mergeCell ref="B20:C20"/>
    <mergeCell ref="B11:C11"/>
    <mergeCell ref="B17:C17"/>
    <mergeCell ref="B25:C25"/>
    <mergeCell ref="B26:C26"/>
    <mergeCell ref="B15:D15"/>
    <mergeCell ref="B16:C16"/>
    <mergeCell ref="B21:C21"/>
    <mergeCell ref="F25:G25"/>
    <mergeCell ref="F18:G18"/>
    <mergeCell ref="F26:G26"/>
    <mergeCell ref="F8:G8"/>
    <mergeCell ref="F30:G30"/>
    <mergeCell ref="F9:G9"/>
    <mergeCell ref="F10:G10"/>
    <mergeCell ref="F11:G11"/>
    <mergeCell ref="F29:G29"/>
    <mergeCell ref="F19:G19"/>
    <mergeCell ref="F20:G20"/>
    <mergeCell ref="F21:G21"/>
    <mergeCell ref="B2:C2"/>
    <mergeCell ref="F2:G2"/>
    <mergeCell ref="F15:H15"/>
    <mergeCell ref="F16:G16"/>
    <mergeCell ref="F17:G17"/>
    <mergeCell ref="F3:G3"/>
    <mergeCell ref="F6:H6"/>
    <mergeCell ref="F7:G7"/>
    <mergeCell ref="B10:C10"/>
    <mergeCell ref="B3:C3"/>
    <mergeCell ref="B6:D6"/>
    <mergeCell ref="J2:K2"/>
    <mergeCell ref="J3:K3"/>
    <mergeCell ref="J6:L6"/>
    <mergeCell ref="J7:K7"/>
    <mergeCell ref="J29:K29"/>
    <mergeCell ref="J25:K25"/>
    <mergeCell ref="J18:K18"/>
    <mergeCell ref="J26:K26"/>
    <mergeCell ref="J8:K8"/>
    <mergeCell ref="J30:K30"/>
    <mergeCell ref="J9:K9"/>
    <mergeCell ref="J10:K10"/>
    <mergeCell ref="J11:K11"/>
    <mergeCell ref="J19:K19"/>
    <mergeCell ref="J20:K20"/>
    <mergeCell ref="J21:K21"/>
    <mergeCell ref="J15:L15"/>
    <mergeCell ref="J16:K16"/>
    <mergeCell ref="J17:K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W48"/>
  <sheetViews>
    <sheetView topLeftCell="AC2" zoomScale="70" zoomScaleNormal="70" workbookViewId="0">
      <selection activeCell="AE32" sqref="AE32"/>
    </sheetView>
  </sheetViews>
  <sheetFormatPr baseColWidth="10" defaultRowHeight="15"/>
  <cols>
    <col min="8" max="8" width="17.140625" customWidth="1"/>
    <col min="9" max="9" width="14.28515625" customWidth="1"/>
    <col min="10" max="10" width="11.42578125" customWidth="1"/>
    <col min="12" max="12" width="12.85546875" bestFit="1" customWidth="1"/>
    <col min="17" max="17" width="16.85546875" customWidth="1"/>
    <col min="18" max="18" width="13.28515625" customWidth="1"/>
    <col min="19" max="19" width="12.28515625" customWidth="1"/>
    <col min="20" max="20" width="12.5703125" customWidth="1"/>
    <col min="21" max="21" width="16.140625" customWidth="1"/>
    <col min="22" max="22" width="15.140625" customWidth="1"/>
    <col min="23" max="23" width="15.5703125" customWidth="1"/>
    <col min="25" max="25" width="14.28515625" customWidth="1"/>
    <col min="26" max="26" width="13.28515625" bestFit="1" customWidth="1"/>
    <col min="27" max="27" width="13.5703125" customWidth="1"/>
    <col min="29" max="29" width="18.5703125" customWidth="1"/>
    <col min="31" max="31" width="18.28515625" customWidth="1"/>
    <col min="32" max="32" width="15.85546875" customWidth="1"/>
    <col min="33" max="33" width="14.5703125" customWidth="1"/>
    <col min="34" max="34" width="14.28515625" customWidth="1"/>
    <col min="35" max="35" width="14.5703125" customWidth="1"/>
    <col min="37" max="37" width="14" customWidth="1"/>
    <col min="39" max="39" width="14.28515625" customWidth="1"/>
  </cols>
  <sheetData>
    <row r="2" spans="1:40" ht="15.75" thickBot="1"/>
    <row r="3" spans="1:40" ht="15.75" thickBot="1">
      <c r="B3" s="307" t="s">
        <v>144</v>
      </c>
      <c r="C3" s="308"/>
      <c r="D3" s="309"/>
      <c r="H3" s="290" t="s">
        <v>317</v>
      </c>
      <c r="I3" s="291"/>
      <c r="U3" s="290" t="s">
        <v>315</v>
      </c>
      <c r="V3" s="291"/>
      <c r="AI3" s="290" t="s">
        <v>316</v>
      </c>
      <c r="AJ3" s="291"/>
    </row>
    <row r="4" spans="1:40" ht="15.75" thickBot="1">
      <c r="G4" s="32"/>
      <c r="H4" s="88"/>
      <c r="I4" s="88"/>
      <c r="J4" s="32"/>
      <c r="U4" s="88"/>
      <c r="V4" s="88"/>
      <c r="W4" s="32"/>
      <c r="AI4" s="88"/>
      <c r="AJ4" s="88"/>
      <c r="AK4" s="32"/>
    </row>
    <row r="5" spans="1:40">
      <c r="B5" s="310" t="s">
        <v>151</v>
      </c>
      <c r="C5" s="311"/>
      <c r="D5" s="312" t="s">
        <v>155</v>
      </c>
      <c r="E5" s="313"/>
      <c r="AF5" s="32"/>
      <c r="AG5" s="32"/>
    </row>
    <row r="6" spans="1:40">
      <c r="B6" s="299" t="s">
        <v>152</v>
      </c>
      <c r="C6" s="189"/>
      <c r="D6" s="300">
        <v>20</v>
      </c>
      <c r="E6" s="301"/>
      <c r="H6" s="292" t="s">
        <v>285</v>
      </c>
      <c r="I6" s="292"/>
      <c r="U6" s="292" t="s">
        <v>285</v>
      </c>
      <c r="V6" s="292"/>
      <c r="AF6" s="104"/>
      <c r="AG6" s="104"/>
      <c r="AI6" s="292" t="s">
        <v>285</v>
      </c>
      <c r="AJ6" s="292"/>
    </row>
    <row r="7" spans="1:40">
      <c r="B7" s="299" t="s">
        <v>156</v>
      </c>
      <c r="C7" s="189"/>
      <c r="D7" s="300">
        <v>35</v>
      </c>
      <c r="E7" s="301"/>
      <c r="H7" s="125" t="s">
        <v>170</v>
      </c>
      <c r="I7" s="125"/>
      <c r="J7" s="145">
        <f>SPINNING!J3</f>
        <v>26</v>
      </c>
      <c r="K7" s="146"/>
      <c r="U7" s="125" t="s">
        <v>170</v>
      </c>
      <c r="V7" s="125"/>
      <c r="W7" s="145">
        <f>'EST. OFICIAL'!K3</f>
        <v>14</v>
      </c>
      <c r="X7" s="146"/>
      <c r="AF7" s="103"/>
      <c r="AG7" s="103"/>
      <c r="AI7" s="125" t="s">
        <v>170</v>
      </c>
      <c r="AJ7" s="125"/>
      <c r="AK7" s="145">
        <f>ATLAS!K3</f>
        <v>50</v>
      </c>
      <c r="AL7" s="146"/>
    </row>
    <row r="8" spans="1:40">
      <c r="B8" s="299" t="s">
        <v>153</v>
      </c>
      <c r="C8" s="189"/>
      <c r="D8" s="300" t="s">
        <v>175</v>
      </c>
      <c r="E8" s="301"/>
      <c r="F8" s="42">
        <v>7.0000000000000007E-2</v>
      </c>
      <c r="H8" s="125" t="s">
        <v>172</v>
      </c>
      <c r="I8" s="125"/>
      <c r="J8" s="176">
        <f>D23</f>
        <v>57</v>
      </c>
      <c r="K8" s="128"/>
      <c r="U8" s="125" t="s">
        <v>172</v>
      </c>
      <c r="V8" s="125"/>
      <c r="W8" s="176">
        <f>D23</f>
        <v>57</v>
      </c>
      <c r="X8" s="128"/>
      <c r="AF8" s="103"/>
      <c r="AG8" s="103"/>
      <c r="AI8" s="125" t="s">
        <v>172</v>
      </c>
      <c r="AJ8" s="125"/>
      <c r="AK8" s="176">
        <f>D23</f>
        <v>57</v>
      </c>
      <c r="AL8" s="128"/>
    </row>
    <row r="9" spans="1:40">
      <c r="B9" s="299" t="s">
        <v>148</v>
      </c>
      <c r="C9" s="189"/>
      <c r="D9" s="300" t="s">
        <v>176</v>
      </c>
      <c r="E9" s="301"/>
      <c r="F9" s="43">
        <v>0.1</v>
      </c>
      <c r="H9" s="287" t="s">
        <v>171</v>
      </c>
      <c r="I9" s="287"/>
      <c r="J9" s="281">
        <f>J7*J8</f>
        <v>1482</v>
      </c>
      <c r="K9" s="282"/>
      <c r="U9" s="287" t="s">
        <v>171</v>
      </c>
      <c r="V9" s="287"/>
      <c r="W9" s="281">
        <f>W7*W8</f>
        <v>798</v>
      </c>
      <c r="X9" s="282"/>
      <c r="AF9" s="101"/>
      <c r="AG9" s="101"/>
      <c r="AI9" s="287" t="s">
        <v>171</v>
      </c>
      <c r="AJ9" s="287"/>
      <c r="AK9" s="281">
        <f>AK7*AK8</f>
        <v>2850</v>
      </c>
      <c r="AL9" s="282"/>
    </row>
    <row r="10" spans="1:40" ht="15.75" thickBot="1">
      <c r="B10" s="302" t="s">
        <v>154</v>
      </c>
      <c r="C10" s="303"/>
      <c r="D10" s="304" t="s">
        <v>177</v>
      </c>
      <c r="E10" s="305"/>
      <c r="F10" s="43">
        <v>0.04</v>
      </c>
      <c r="G10" s="32"/>
      <c r="H10" s="100"/>
      <c r="I10" s="100"/>
      <c r="J10" s="101"/>
      <c r="K10" s="101"/>
      <c r="L10" s="32"/>
      <c r="M10" s="32"/>
      <c r="U10" s="100"/>
      <c r="V10" s="100"/>
      <c r="W10" s="101"/>
      <c r="X10" s="101"/>
      <c r="Y10" s="32"/>
      <c r="Z10" s="32"/>
      <c r="AF10" s="32"/>
      <c r="AG10" s="32"/>
      <c r="AI10" s="100"/>
      <c r="AJ10" s="100"/>
      <c r="AK10" s="101"/>
      <c r="AL10" s="101"/>
      <c r="AM10" s="32"/>
      <c r="AN10" s="32"/>
    </row>
    <row r="11" spans="1:40">
      <c r="AF11" s="32"/>
      <c r="AG11" s="32"/>
    </row>
    <row r="12" spans="1:40">
      <c r="H12" s="44" t="s">
        <v>145</v>
      </c>
      <c r="I12" s="45"/>
      <c r="J12" s="45"/>
      <c r="K12" s="45"/>
      <c r="L12" s="46">
        <f>J9</f>
        <v>1482</v>
      </c>
      <c r="U12" s="44" t="s">
        <v>145</v>
      </c>
      <c r="V12" s="45"/>
      <c r="W12" s="45"/>
      <c r="X12" s="45"/>
      <c r="Y12" s="46">
        <f>W9</f>
        <v>798</v>
      </c>
      <c r="AA12" s="44" t="s">
        <v>145</v>
      </c>
      <c r="AB12" s="45"/>
      <c r="AC12" s="45"/>
      <c r="AD12" s="45"/>
      <c r="AE12" s="46">
        <f>FOTOVOLTAICA!AJ105</f>
        <v>48510</v>
      </c>
      <c r="AF12" s="101"/>
      <c r="AG12" s="101"/>
      <c r="AI12" s="44" t="s">
        <v>145</v>
      </c>
      <c r="AJ12" s="45"/>
      <c r="AK12" s="45"/>
      <c r="AL12" s="45"/>
      <c r="AM12" s="46">
        <f>AK9</f>
        <v>2850</v>
      </c>
    </row>
    <row r="13" spans="1:40">
      <c r="H13" s="128" t="s">
        <v>146</v>
      </c>
      <c r="I13" s="128"/>
      <c r="J13" s="277">
        <f>F8</f>
        <v>7.0000000000000007E-2</v>
      </c>
      <c r="K13" s="128"/>
      <c r="L13" s="89">
        <f>L12*J13</f>
        <v>103.74000000000001</v>
      </c>
      <c r="U13" s="128" t="s">
        <v>146</v>
      </c>
      <c r="V13" s="128"/>
      <c r="W13" s="277">
        <f>J13</f>
        <v>7.0000000000000007E-2</v>
      </c>
      <c r="X13" s="128"/>
      <c r="Y13" s="89">
        <f>Y12*W13</f>
        <v>55.860000000000007</v>
      </c>
      <c r="AA13" s="128" t="s">
        <v>146</v>
      </c>
      <c r="AB13" s="128"/>
      <c r="AC13" s="277">
        <f>W13</f>
        <v>7.0000000000000007E-2</v>
      </c>
      <c r="AD13" s="128"/>
      <c r="AE13" s="89">
        <f>AE12*AC13</f>
        <v>3395.7000000000003</v>
      </c>
      <c r="AF13" s="101"/>
      <c r="AG13" s="101"/>
      <c r="AI13" s="128" t="s">
        <v>146</v>
      </c>
      <c r="AJ13" s="128"/>
      <c r="AK13" s="277">
        <f>AC13</f>
        <v>7.0000000000000007E-2</v>
      </c>
      <c r="AL13" s="128"/>
      <c r="AM13" s="89">
        <f>AM12*AK13</f>
        <v>199.50000000000003</v>
      </c>
    </row>
    <row r="14" spans="1:40">
      <c r="A14" s="32"/>
      <c r="B14" s="288" t="s">
        <v>167</v>
      </c>
      <c r="C14" s="289"/>
      <c r="D14" s="32"/>
      <c r="E14" s="32"/>
      <c r="H14" s="44" t="s">
        <v>147</v>
      </c>
      <c r="I14" s="45"/>
      <c r="J14" s="45"/>
      <c r="K14" s="45"/>
      <c r="L14" s="46">
        <f>L12+L13</f>
        <v>1585.74</v>
      </c>
      <c r="U14" s="44" t="s">
        <v>147</v>
      </c>
      <c r="V14" s="45"/>
      <c r="W14" s="45"/>
      <c r="X14" s="45"/>
      <c r="Y14" s="46">
        <f>Y12+Y13</f>
        <v>853.86</v>
      </c>
      <c r="AA14" s="44" t="s">
        <v>147</v>
      </c>
      <c r="AB14" s="45"/>
      <c r="AC14" s="45"/>
      <c r="AD14" s="45"/>
      <c r="AE14" s="46">
        <f>AE12+AE13</f>
        <v>51905.7</v>
      </c>
      <c r="AF14" s="101"/>
      <c r="AG14" s="101"/>
      <c r="AI14" s="44" t="s">
        <v>147</v>
      </c>
      <c r="AJ14" s="45"/>
      <c r="AK14" s="45"/>
      <c r="AL14" s="45"/>
      <c r="AM14" s="46">
        <f>AM12+AM13</f>
        <v>3049.5</v>
      </c>
    </row>
    <row r="15" spans="1:40">
      <c r="B15" s="298" t="s">
        <v>168</v>
      </c>
      <c r="C15" s="298"/>
      <c r="D15" s="176">
        <v>5</v>
      </c>
      <c r="E15" s="176"/>
      <c r="H15" s="128" t="s">
        <v>148</v>
      </c>
      <c r="I15" s="128"/>
      <c r="J15" s="277">
        <f>F9</f>
        <v>0.1</v>
      </c>
      <c r="K15" s="128"/>
      <c r="L15" s="89">
        <f>L14*J15</f>
        <v>158.57400000000001</v>
      </c>
      <c r="U15" s="128" t="s">
        <v>148</v>
      </c>
      <c r="V15" s="128"/>
      <c r="W15" s="277">
        <f>J15</f>
        <v>0.1</v>
      </c>
      <c r="X15" s="128"/>
      <c r="Y15" s="89">
        <f>Y14*W15</f>
        <v>85.38600000000001</v>
      </c>
      <c r="AA15" s="128" t="s">
        <v>148</v>
      </c>
      <c r="AB15" s="128"/>
      <c r="AC15" s="277">
        <f>W15</f>
        <v>0.1</v>
      </c>
      <c r="AD15" s="128"/>
      <c r="AE15" s="89">
        <f>AE14*AC15</f>
        <v>5190.57</v>
      </c>
      <c r="AF15" s="101"/>
      <c r="AG15" s="101"/>
      <c r="AI15" s="128" t="s">
        <v>148</v>
      </c>
      <c r="AJ15" s="128"/>
      <c r="AK15" s="277">
        <f>AC15</f>
        <v>0.1</v>
      </c>
      <c r="AL15" s="128"/>
      <c r="AM15" s="89">
        <f>AM14*AK15</f>
        <v>304.95</v>
      </c>
    </row>
    <row r="16" spans="1:40">
      <c r="B16" s="296" t="s">
        <v>273</v>
      </c>
      <c r="C16" s="297"/>
      <c r="D16" s="176">
        <f>D15*2</f>
        <v>10</v>
      </c>
      <c r="E16" s="176"/>
      <c r="H16" s="44" t="s">
        <v>149</v>
      </c>
      <c r="I16" s="45"/>
      <c r="J16" s="45"/>
      <c r="K16" s="45"/>
      <c r="L16" s="46">
        <f>L14+L15</f>
        <v>1744.3140000000001</v>
      </c>
      <c r="U16" s="44" t="s">
        <v>149</v>
      </c>
      <c r="V16" s="45"/>
      <c r="W16" s="45"/>
      <c r="X16" s="45"/>
      <c r="Y16" s="46">
        <f>Y14+Y15</f>
        <v>939.24599999999998</v>
      </c>
      <c r="AA16" s="44" t="s">
        <v>149</v>
      </c>
      <c r="AB16" s="45"/>
      <c r="AC16" s="45"/>
      <c r="AD16" s="45"/>
      <c r="AE16" s="46">
        <f>AE14+AE15</f>
        <v>57096.27</v>
      </c>
      <c r="AF16" s="101"/>
      <c r="AG16" s="101"/>
      <c r="AI16" s="44" t="s">
        <v>149</v>
      </c>
      <c r="AJ16" s="45"/>
      <c r="AK16" s="45"/>
      <c r="AL16" s="45"/>
      <c r="AM16" s="46">
        <f>AM14+AM15</f>
        <v>3354.45</v>
      </c>
    </row>
    <row r="17" spans="2:44">
      <c r="B17" s="296" t="s">
        <v>166</v>
      </c>
      <c r="C17" s="297"/>
      <c r="D17" s="281">
        <f>5</f>
        <v>5</v>
      </c>
      <c r="E17" s="282"/>
      <c r="H17" s="128" t="s">
        <v>150</v>
      </c>
      <c r="I17" s="128"/>
      <c r="J17" s="278">
        <f>F10</f>
        <v>0.04</v>
      </c>
      <c r="K17" s="146"/>
      <c r="L17" s="89">
        <f>L16*J17</f>
        <v>69.772559999999999</v>
      </c>
      <c r="U17" s="128" t="s">
        <v>150</v>
      </c>
      <c r="V17" s="128"/>
      <c r="W17" s="278">
        <f>J17</f>
        <v>0.04</v>
      </c>
      <c r="X17" s="146"/>
      <c r="Y17" s="89">
        <f>Y16*W17</f>
        <v>37.569839999999999</v>
      </c>
      <c r="AA17" s="128" t="s">
        <v>150</v>
      </c>
      <c r="AB17" s="128"/>
      <c r="AC17" s="278">
        <f>W17</f>
        <v>0.04</v>
      </c>
      <c r="AD17" s="146"/>
      <c r="AE17" s="89">
        <f>AE16*AC17</f>
        <v>2283.8507999999997</v>
      </c>
      <c r="AF17" s="101"/>
      <c r="AG17" s="101"/>
      <c r="AI17" s="128" t="s">
        <v>150</v>
      </c>
      <c r="AJ17" s="128"/>
      <c r="AK17" s="278">
        <f>AC17</f>
        <v>0.04</v>
      </c>
      <c r="AL17" s="146"/>
      <c r="AM17" s="89">
        <f>AM16*AK17</f>
        <v>134.178</v>
      </c>
    </row>
    <row r="18" spans="2:44">
      <c r="B18" s="315" t="s">
        <v>274</v>
      </c>
      <c r="C18" s="316"/>
      <c r="D18" s="281">
        <f>2*D17</f>
        <v>10</v>
      </c>
      <c r="E18" s="282"/>
      <c r="H18" s="287" t="s">
        <v>173</v>
      </c>
      <c r="I18" s="287"/>
      <c r="J18" s="287"/>
      <c r="K18" s="287"/>
      <c r="L18" s="47">
        <f>L16+L17</f>
        <v>1814.0865600000002</v>
      </c>
      <c r="U18" s="287" t="s">
        <v>173</v>
      </c>
      <c r="V18" s="287"/>
      <c r="W18" s="287"/>
      <c r="X18" s="287"/>
      <c r="Y18" s="47">
        <f>Y16+Y17</f>
        <v>976.81583999999998</v>
      </c>
      <c r="AA18" s="287" t="s">
        <v>297</v>
      </c>
      <c r="AB18" s="287"/>
      <c r="AC18" s="287"/>
      <c r="AD18" s="287"/>
      <c r="AE18" s="47">
        <f>AE16+AE17</f>
        <v>59380.120799999997</v>
      </c>
      <c r="AF18" s="102"/>
      <c r="AG18" s="102"/>
      <c r="AI18" s="287" t="s">
        <v>173</v>
      </c>
      <c r="AJ18" s="287"/>
      <c r="AK18" s="287"/>
      <c r="AL18" s="287"/>
      <c r="AM18" s="47">
        <f>AM16+AM17</f>
        <v>3488.6279999999997</v>
      </c>
    </row>
    <row r="19" spans="2:44">
      <c r="B19" s="296" t="s">
        <v>169</v>
      </c>
      <c r="C19" s="297"/>
      <c r="D19" s="281">
        <v>1</v>
      </c>
      <c r="E19" s="282"/>
      <c r="G19" s="32"/>
      <c r="H19" s="100"/>
      <c r="I19" s="100"/>
      <c r="J19" s="100"/>
      <c r="K19" s="100"/>
      <c r="L19" s="102"/>
      <c r="M19" s="32"/>
      <c r="U19" s="100"/>
      <c r="V19" s="100"/>
      <c r="W19" s="100"/>
      <c r="X19" s="100"/>
      <c r="Y19" s="102"/>
      <c r="Z19" s="32"/>
      <c r="AF19" s="32"/>
      <c r="AG19" s="32"/>
      <c r="AI19" s="100"/>
      <c r="AJ19" s="100"/>
      <c r="AK19" s="100"/>
      <c r="AL19" s="100"/>
      <c r="AM19" s="102"/>
      <c r="AN19" s="32"/>
    </row>
    <row r="20" spans="2:44">
      <c r="B20" s="306" t="s">
        <v>275</v>
      </c>
      <c r="C20" s="306"/>
      <c r="D20" s="176">
        <f>2*D19</f>
        <v>2</v>
      </c>
      <c r="E20" s="128"/>
      <c r="AF20" s="32"/>
      <c r="AG20" s="32"/>
    </row>
    <row r="21" spans="2:44">
      <c r="B21" s="298" t="s">
        <v>157</v>
      </c>
      <c r="C21" s="298"/>
      <c r="D21" s="176">
        <v>30</v>
      </c>
      <c r="E21" s="176"/>
      <c r="H21" s="288" t="s">
        <v>178</v>
      </c>
      <c r="I21" s="289"/>
      <c r="U21" s="288" t="s">
        <v>299</v>
      </c>
      <c r="V21" s="289"/>
      <c r="AF21" s="32"/>
      <c r="AG21" s="32"/>
      <c r="AI21" s="288" t="s">
        <v>286</v>
      </c>
      <c r="AJ21" s="289"/>
    </row>
    <row r="22" spans="2:44" ht="15" customHeight="1">
      <c r="B22" s="296" t="s">
        <v>174</v>
      </c>
      <c r="C22" s="297"/>
      <c r="D22" s="281">
        <f>(D6/60)*E25</f>
        <v>5</v>
      </c>
      <c r="E22" s="282"/>
      <c r="H22" s="171" t="s">
        <v>179</v>
      </c>
      <c r="I22" s="240"/>
      <c r="J22" s="281">
        <f>L18</f>
        <v>1814.0865600000002</v>
      </c>
      <c r="K22" s="146"/>
      <c r="M22" s="179" t="s">
        <v>313</v>
      </c>
      <c r="N22" s="273"/>
      <c r="O22" s="273"/>
      <c r="P22" s="273"/>
      <c r="Q22" s="80">
        <f>BATERÍAS!L30</f>
        <v>2750</v>
      </c>
      <c r="R22" s="103"/>
      <c r="S22" s="103"/>
      <c r="U22" s="171" t="s">
        <v>179</v>
      </c>
      <c r="V22" s="240"/>
      <c r="W22" s="281">
        <f>Y18+AE18</f>
        <v>60356.93664</v>
      </c>
      <c r="X22" s="146"/>
      <c r="AA22" s="188" t="s">
        <v>313</v>
      </c>
      <c r="AB22" s="272"/>
      <c r="AC22" s="272"/>
      <c r="AD22" s="189"/>
      <c r="AE22" s="108">
        <f>BATERÍAS!D30</f>
        <v>33000</v>
      </c>
      <c r="AF22" s="32"/>
      <c r="AG22" s="32"/>
      <c r="AI22" s="171" t="s">
        <v>179</v>
      </c>
      <c r="AJ22" s="240"/>
      <c r="AK22" s="281">
        <f>AM18</f>
        <v>3488.6279999999997</v>
      </c>
      <c r="AL22" s="146"/>
      <c r="AN22" s="179" t="s">
        <v>313</v>
      </c>
      <c r="AO22" s="273"/>
      <c r="AP22" s="273"/>
      <c r="AQ22" s="273"/>
      <c r="AR22" s="80">
        <f>BATERÍAS!H30</f>
        <v>12375</v>
      </c>
    </row>
    <row r="23" spans="2:44">
      <c r="B23" s="190" t="s">
        <v>172</v>
      </c>
      <c r="C23" s="191"/>
      <c r="D23" s="281">
        <f>D16+D18+D20+D21+D22</f>
        <v>57</v>
      </c>
      <c r="E23" s="146"/>
      <c r="H23" s="171" t="s">
        <v>180</v>
      </c>
      <c r="I23" s="240"/>
      <c r="J23" s="281">
        <f>(SPINNING!D43)/7*365</f>
        <v>329.93080000000003</v>
      </c>
      <c r="K23" s="282"/>
      <c r="M23" s="273" t="s">
        <v>173</v>
      </c>
      <c r="N23" s="273"/>
      <c r="O23" s="273"/>
      <c r="P23" s="273"/>
      <c r="Q23" s="80">
        <f>L18</f>
        <v>1814.0865600000002</v>
      </c>
      <c r="R23" s="103"/>
      <c r="S23" s="103"/>
      <c r="U23" s="171" t="s">
        <v>180</v>
      </c>
      <c r="V23" s="240"/>
      <c r="W23" s="281">
        <f>('EST. OFICIAL'!AB24)/7*365</f>
        <v>4192.5944</v>
      </c>
      <c r="X23" s="282"/>
      <c r="AA23" s="273" t="s">
        <v>297</v>
      </c>
      <c r="AB23" s="273"/>
      <c r="AC23" s="273"/>
      <c r="AD23" s="273"/>
      <c r="AE23" s="80">
        <f>AE18</f>
        <v>59380.120799999997</v>
      </c>
      <c r="AF23" s="32"/>
      <c r="AG23" s="32"/>
      <c r="AI23" s="171" t="s">
        <v>180</v>
      </c>
      <c r="AJ23" s="240"/>
      <c r="AK23" s="281">
        <f>(ATLAS!X70)/7*365</f>
        <v>1578.4425000000001</v>
      </c>
      <c r="AL23" s="282"/>
      <c r="AN23" s="273" t="s">
        <v>173</v>
      </c>
      <c r="AO23" s="273"/>
      <c r="AP23" s="273"/>
      <c r="AQ23" s="273"/>
      <c r="AR23" s="80">
        <f>AM18</f>
        <v>3488.6279999999997</v>
      </c>
    </row>
    <row r="24" spans="2:44">
      <c r="H24" s="283" t="s">
        <v>181</v>
      </c>
      <c r="I24" s="284"/>
      <c r="J24" s="281">
        <f>(SPINNING!D42)/7*365</f>
        <v>1002.144</v>
      </c>
      <c r="K24" s="282"/>
      <c r="M24" s="190" t="s">
        <v>298</v>
      </c>
      <c r="N24" s="274"/>
      <c r="O24" s="274"/>
      <c r="P24" s="191"/>
      <c r="Q24" s="92">
        <f>Q22+Q23+Q21</f>
        <v>4564.0865599999997</v>
      </c>
      <c r="R24" s="119"/>
      <c r="S24" s="119"/>
      <c r="U24" s="283" t="s">
        <v>181</v>
      </c>
      <c r="V24" s="284"/>
      <c r="W24" s="281">
        <f>FOTOVOLTAICA!AJ93*FOTOVOLTAICA!AJ91+('EST. OFICIAL'!AB30)/7*365</f>
        <v>20923.620000000003</v>
      </c>
      <c r="X24" s="282"/>
      <c r="AA24" s="273" t="s">
        <v>173</v>
      </c>
      <c r="AB24" s="273"/>
      <c r="AC24" s="273"/>
      <c r="AD24" s="273"/>
      <c r="AE24" s="80">
        <f>Y18</f>
        <v>976.81583999999998</v>
      </c>
      <c r="AF24" s="32"/>
      <c r="AG24" s="32"/>
      <c r="AI24" s="283" t="s">
        <v>181</v>
      </c>
      <c r="AJ24" s="284"/>
      <c r="AK24" s="281">
        <f>(ATLAS!X76)/7*365</f>
        <v>1595.0500000000004</v>
      </c>
      <c r="AL24" s="282"/>
      <c r="AN24" s="190" t="s">
        <v>298</v>
      </c>
      <c r="AO24" s="274"/>
      <c r="AP24" s="274"/>
      <c r="AQ24" s="191"/>
      <c r="AR24" s="92">
        <f>AR22+AR23+AR21</f>
        <v>15863.628000000001</v>
      </c>
    </row>
    <row r="25" spans="2:44" ht="15" customHeight="1">
      <c r="B25" s="314" t="s">
        <v>320</v>
      </c>
      <c r="C25" s="314"/>
      <c r="D25" s="314"/>
      <c r="E25" s="258">
        <v>15</v>
      </c>
      <c r="H25" s="285" t="s">
        <v>321</v>
      </c>
      <c r="I25" s="286"/>
      <c r="J25" s="281">
        <f>J24-J23</f>
        <v>672.21319999999992</v>
      </c>
      <c r="K25" s="146"/>
      <c r="U25" s="285" t="s">
        <v>321</v>
      </c>
      <c r="V25" s="286"/>
      <c r="W25" s="281">
        <f>W24-W23</f>
        <v>16731.025600000001</v>
      </c>
      <c r="X25" s="146"/>
      <c r="AA25" s="190" t="s">
        <v>298</v>
      </c>
      <c r="AB25" s="274"/>
      <c r="AC25" s="274"/>
      <c r="AD25" s="191"/>
      <c r="AE25" s="89">
        <f>AE23+AE24+AE22</f>
        <v>93356.93664</v>
      </c>
      <c r="AF25" s="32"/>
      <c r="AG25" s="32"/>
      <c r="AI25" s="285" t="s">
        <v>321</v>
      </c>
      <c r="AJ25" s="286"/>
      <c r="AK25" s="281">
        <f>AK24-AK23</f>
        <v>16.6075000000003</v>
      </c>
      <c r="AL25" s="146"/>
    </row>
    <row r="26" spans="2:44">
      <c r="B26" s="314"/>
      <c r="C26" s="314"/>
      <c r="D26" s="314"/>
      <c r="E26" s="259"/>
      <c r="G26" s="32"/>
      <c r="H26" s="100"/>
      <c r="I26" s="100"/>
      <c r="J26" s="101"/>
      <c r="K26" s="88"/>
      <c r="L26" s="32"/>
      <c r="U26" s="100"/>
      <c r="V26" s="100"/>
      <c r="W26" s="101"/>
      <c r="X26" s="88"/>
      <c r="Y26" s="32"/>
      <c r="AF26" s="32"/>
      <c r="AG26" s="32"/>
      <c r="AI26" s="100"/>
      <c r="AJ26" s="100"/>
      <c r="AK26" s="101"/>
      <c r="AL26" s="88"/>
      <c r="AM26" s="32"/>
    </row>
    <row r="27" spans="2:44">
      <c r="B27" s="99"/>
      <c r="C27" s="99"/>
      <c r="D27" s="99"/>
      <c r="AF27" s="32"/>
      <c r="AG27" s="32"/>
    </row>
    <row r="28" spans="2:44">
      <c r="B28" s="293" t="s">
        <v>312</v>
      </c>
      <c r="C28" s="294"/>
      <c r="D28" s="295"/>
      <c r="E28" s="93">
        <v>0.03</v>
      </c>
      <c r="H28" s="188" t="s">
        <v>313</v>
      </c>
      <c r="I28" s="272"/>
      <c r="J28" s="272"/>
      <c r="K28" s="189"/>
      <c r="L28" s="108">
        <f>BATERÍAS!L30</f>
        <v>2750</v>
      </c>
      <c r="U28" s="188" t="s">
        <v>313</v>
      </c>
      <c r="V28" s="272"/>
      <c r="W28" s="272"/>
      <c r="X28" s="189"/>
      <c r="Y28" s="108">
        <f>AE22</f>
        <v>33000</v>
      </c>
      <c r="AF28" s="32"/>
      <c r="AG28" s="32"/>
      <c r="AI28" s="188" t="s">
        <v>313</v>
      </c>
      <c r="AJ28" s="272"/>
      <c r="AK28" s="272"/>
      <c r="AL28" s="189"/>
      <c r="AM28" s="109">
        <f>BATERÍAS!H30</f>
        <v>12375</v>
      </c>
    </row>
    <row r="29" spans="2:44">
      <c r="H29" s="273" t="s">
        <v>173</v>
      </c>
      <c r="I29" s="273"/>
      <c r="J29" s="273"/>
      <c r="K29" s="273"/>
      <c r="L29" s="81">
        <f>J22</f>
        <v>1814.0865600000002</v>
      </c>
      <c r="U29" s="273" t="s">
        <v>173</v>
      </c>
      <c r="V29" s="273"/>
      <c r="W29" s="273"/>
      <c r="X29" s="273"/>
      <c r="Y29" s="81">
        <f>W22</f>
        <v>60356.93664</v>
      </c>
      <c r="AI29" s="273" t="s">
        <v>173</v>
      </c>
      <c r="AJ29" s="273"/>
      <c r="AK29" s="273"/>
      <c r="AL29" s="273"/>
      <c r="AM29" s="81">
        <f>AK22</f>
        <v>3488.6279999999997</v>
      </c>
    </row>
    <row r="30" spans="2:44">
      <c r="H30" s="149" t="s">
        <v>321</v>
      </c>
      <c r="I30" s="279"/>
      <c r="J30" s="279"/>
      <c r="K30" s="279"/>
      <c r="L30" s="82">
        <f>J25</f>
        <v>672.21319999999992</v>
      </c>
      <c r="U30" s="149" t="s">
        <v>321</v>
      </c>
      <c r="V30" s="279"/>
      <c r="W30" s="279"/>
      <c r="X30" s="279"/>
      <c r="Y30" s="82">
        <f>W25</f>
        <v>16731.025600000001</v>
      </c>
      <c r="AI30" s="149" t="s">
        <v>321</v>
      </c>
      <c r="AJ30" s="279"/>
      <c r="AK30" s="279"/>
      <c r="AL30" s="279"/>
      <c r="AM30" s="82">
        <f>AK25</f>
        <v>16.6075000000003</v>
      </c>
    </row>
    <row r="31" spans="2:44">
      <c r="H31" s="280" t="s">
        <v>182</v>
      </c>
      <c r="I31" s="280"/>
      <c r="J31" s="280"/>
      <c r="K31" s="280"/>
      <c r="L31" s="83">
        <f>(L28+L29)/L30</f>
        <v>6.7896413816330892</v>
      </c>
      <c r="P31" s="32"/>
      <c r="Q31" s="32"/>
      <c r="R31" s="32"/>
      <c r="S31" s="32"/>
      <c r="U31" s="280" t="s">
        <v>182</v>
      </c>
      <c r="V31" s="280"/>
      <c r="W31" s="280"/>
      <c r="X31" s="280"/>
      <c r="Y31" s="83">
        <f>(Y28+Y29)/Y30</f>
        <v>5.579869332098804</v>
      </c>
      <c r="AI31" s="280" t="s">
        <v>182</v>
      </c>
      <c r="AJ31" s="280"/>
      <c r="AK31" s="280"/>
      <c r="AL31" s="280"/>
      <c r="AM31" s="83">
        <f>(AM28+AM29)/AM30</f>
        <v>955.20867078125627</v>
      </c>
    </row>
    <row r="32" spans="2:44">
      <c r="P32" s="32"/>
      <c r="Q32" s="32"/>
      <c r="R32" s="32"/>
      <c r="S32" s="32"/>
    </row>
    <row r="33" spans="8:49">
      <c r="P33" s="32"/>
      <c r="Q33" s="32"/>
      <c r="R33" s="32"/>
      <c r="S33" s="32"/>
      <c r="AC33" s="32"/>
      <c r="AD33" s="32"/>
      <c r="AE33" s="32"/>
      <c r="AF33" s="32"/>
      <c r="AG33" s="32"/>
    </row>
    <row r="34" spans="8:49">
      <c r="J34" s="219" t="s">
        <v>276</v>
      </c>
      <c r="K34" s="219"/>
      <c r="L34" s="219" t="s">
        <v>277</v>
      </c>
      <c r="M34" s="219"/>
      <c r="N34" s="219" t="s">
        <v>284</v>
      </c>
      <c r="O34" s="219"/>
      <c r="P34" s="91"/>
      <c r="Q34" s="91"/>
      <c r="R34" s="107"/>
      <c r="S34" s="107"/>
      <c r="W34" s="219" t="s">
        <v>276</v>
      </c>
      <c r="X34" s="219"/>
      <c r="Y34" s="219" t="s">
        <v>277</v>
      </c>
      <c r="Z34" s="219"/>
      <c r="AA34" s="219" t="s">
        <v>284</v>
      </c>
      <c r="AB34" s="219"/>
      <c r="AC34" s="88"/>
      <c r="AD34" s="88"/>
      <c r="AE34" s="88"/>
      <c r="AF34" s="88"/>
      <c r="AG34" s="88"/>
      <c r="AK34" s="219" t="s">
        <v>276</v>
      </c>
      <c r="AL34" s="219"/>
      <c r="AM34" s="219" t="s">
        <v>277</v>
      </c>
      <c r="AN34" s="219"/>
      <c r="AO34" s="219" t="s">
        <v>284</v>
      </c>
      <c r="AP34" s="219"/>
      <c r="AS34" s="139" t="s">
        <v>323</v>
      </c>
      <c r="AT34" s="141"/>
      <c r="AU34" s="139" t="s">
        <v>324</v>
      </c>
      <c r="AV34" s="141"/>
    </row>
    <row r="35" spans="8:49">
      <c r="H35" s="179" t="s">
        <v>278</v>
      </c>
      <c r="I35" s="179"/>
      <c r="J35" s="270">
        <v>0</v>
      </c>
      <c r="K35" s="128"/>
      <c r="L35" s="275">
        <f>L29+L28</f>
        <v>4564.0865599999997</v>
      </c>
      <c r="M35" s="276"/>
      <c r="N35" s="271">
        <f>J35-L35</f>
        <v>-4564.0865599999997</v>
      </c>
      <c r="O35" s="128"/>
      <c r="P35" s="90"/>
      <c r="Q35" s="90"/>
      <c r="R35" s="105"/>
      <c r="S35" s="105"/>
      <c r="U35" s="179" t="s">
        <v>278</v>
      </c>
      <c r="V35" s="179"/>
      <c r="W35" s="270">
        <v>0</v>
      </c>
      <c r="X35" s="128"/>
      <c r="Y35" s="275">
        <f>AE25</f>
        <v>93356.93664</v>
      </c>
      <c r="Z35" s="276"/>
      <c r="AA35" s="271">
        <f>W35-Y35</f>
        <v>-93356.93664</v>
      </c>
      <c r="AB35" s="128"/>
      <c r="AC35" s="88"/>
      <c r="AD35" s="88"/>
      <c r="AE35" s="88"/>
      <c r="AF35" s="88"/>
      <c r="AG35" s="88"/>
      <c r="AI35" s="179" t="s">
        <v>278</v>
      </c>
      <c r="AJ35" s="179"/>
      <c r="AK35" s="270">
        <v>0</v>
      </c>
      <c r="AL35" s="128"/>
      <c r="AM35" s="275">
        <f>AM29+AM28</f>
        <v>15863.628000000001</v>
      </c>
      <c r="AN35" s="276"/>
      <c r="AO35" s="271">
        <f>AK35-AM35</f>
        <v>-15863.628000000001</v>
      </c>
      <c r="AP35" s="128"/>
      <c r="AR35" s="110" t="s">
        <v>278</v>
      </c>
      <c r="AS35" s="281">
        <f>-$AK$23</f>
        <v>-1578.4425000000001</v>
      </c>
      <c r="AT35" s="146"/>
      <c r="AU35" s="271">
        <f>AO35</f>
        <v>-15863.628000000001</v>
      </c>
      <c r="AV35" s="128"/>
    </row>
    <row r="36" spans="8:49">
      <c r="H36" s="179" t="s">
        <v>279</v>
      </c>
      <c r="I36" s="179"/>
      <c r="J36" s="270">
        <f>$J$24-$J$23</f>
        <v>672.21319999999992</v>
      </c>
      <c r="K36" s="270"/>
      <c r="L36" s="176">
        <f>$L$29*$E$28</f>
        <v>54.422596800000001</v>
      </c>
      <c r="M36" s="176"/>
      <c r="N36" s="271">
        <f>(J36-L36)+N35</f>
        <v>-3946.2959567999997</v>
      </c>
      <c r="O36" s="128"/>
      <c r="P36" s="90"/>
      <c r="Q36" s="90"/>
      <c r="R36" s="105"/>
      <c r="S36" s="105"/>
      <c r="U36" s="179" t="s">
        <v>279</v>
      </c>
      <c r="V36" s="179"/>
      <c r="W36" s="270">
        <f>$W$24-$W$23</f>
        <v>16731.025600000001</v>
      </c>
      <c r="X36" s="270"/>
      <c r="Y36" s="176">
        <f t="shared" ref="Y36:Y44" si="0">($AE$23+$AE$24)*$E$28</f>
        <v>1810.7080991999999</v>
      </c>
      <c r="Z36" s="176"/>
      <c r="AA36" s="271">
        <f>(W36-Y36)+AA35</f>
        <v>-78436.619139200004</v>
      </c>
      <c r="AB36" s="128"/>
      <c r="AC36" s="86"/>
      <c r="AD36" s="86"/>
      <c r="AE36" s="86"/>
      <c r="AF36" s="86"/>
      <c r="AG36" s="86"/>
      <c r="AI36" s="179" t="s">
        <v>279</v>
      </c>
      <c r="AJ36" s="179"/>
      <c r="AK36" s="271">
        <f>$AK$24-$AK$23</f>
        <v>16.6075000000003</v>
      </c>
      <c r="AL36" s="271"/>
      <c r="AM36" s="281">
        <f t="shared" ref="AM36:AM48" si="1">$AM$29*$E$28</f>
        <v>104.65883999999998</v>
      </c>
      <c r="AN36" s="282"/>
      <c r="AO36" s="271">
        <f t="shared" ref="AO36:AO42" si="2">(AK36-AM36)+AO35</f>
        <v>-15951.679340000001</v>
      </c>
      <c r="AP36" s="128"/>
      <c r="AR36" s="110" t="s">
        <v>279</v>
      </c>
      <c r="AS36" s="281">
        <f>-$AK$23+AS35</f>
        <v>-3156.8850000000002</v>
      </c>
      <c r="AT36" s="146"/>
      <c r="AU36" s="271">
        <f t="shared" ref="AU36:AU47" si="3">AO36</f>
        <v>-15951.679340000001</v>
      </c>
      <c r="AV36" s="128"/>
    </row>
    <row r="37" spans="8:49">
      <c r="H37" s="179" t="s">
        <v>280</v>
      </c>
      <c r="I37" s="179"/>
      <c r="J37" s="270">
        <f t="shared" ref="J37:J44" si="4">$J$24-$J$23</f>
        <v>672.21319999999992</v>
      </c>
      <c r="K37" s="270"/>
      <c r="L37" s="176">
        <f t="shared" ref="L37:L44" si="5">$L$29*$E$28</f>
        <v>54.422596800000001</v>
      </c>
      <c r="M37" s="176"/>
      <c r="N37" s="271">
        <f>(J37-L37)+N36</f>
        <v>-3328.5053535999996</v>
      </c>
      <c r="O37" s="128"/>
      <c r="P37" s="90"/>
      <c r="Q37" s="90"/>
      <c r="R37" s="105"/>
      <c r="S37" s="105"/>
      <c r="U37" s="179" t="s">
        <v>280</v>
      </c>
      <c r="V37" s="179"/>
      <c r="W37" s="270">
        <f t="shared" ref="W37:W44" si="6">$W$24-$W$23</f>
        <v>16731.025600000001</v>
      </c>
      <c r="X37" s="270"/>
      <c r="Y37" s="176">
        <f t="shared" si="0"/>
        <v>1810.7080991999999</v>
      </c>
      <c r="Z37" s="176"/>
      <c r="AA37" s="271">
        <f>(W37-Y37)+AA36</f>
        <v>-63516.3016384</v>
      </c>
      <c r="AB37" s="128"/>
      <c r="AC37" s="86"/>
      <c r="AD37" s="86"/>
      <c r="AE37" s="86"/>
      <c r="AF37" s="86"/>
      <c r="AG37" s="86"/>
      <c r="AI37" s="179" t="s">
        <v>280</v>
      </c>
      <c r="AJ37" s="179"/>
      <c r="AK37" s="271">
        <f>$AK$24-$AK$23</f>
        <v>16.6075000000003</v>
      </c>
      <c r="AL37" s="271"/>
      <c r="AM37" s="281">
        <f t="shared" si="1"/>
        <v>104.65883999999998</v>
      </c>
      <c r="AN37" s="282"/>
      <c r="AO37" s="271">
        <f t="shared" si="2"/>
        <v>-16039.730680000001</v>
      </c>
      <c r="AP37" s="128"/>
      <c r="AR37" s="110" t="s">
        <v>280</v>
      </c>
      <c r="AS37" s="281">
        <f t="shared" ref="AS37:AS48" si="7">-$AK$23+AS36</f>
        <v>-4735.3275000000003</v>
      </c>
      <c r="AT37" s="146"/>
      <c r="AU37" s="271">
        <f t="shared" si="3"/>
        <v>-16039.730680000001</v>
      </c>
      <c r="AV37" s="128"/>
    </row>
    <row r="38" spans="8:49">
      <c r="H38" s="179" t="s">
        <v>281</v>
      </c>
      <c r="I38" s="179"/>
      <c r="J38" s="270">
        <f t="shared" si="4"/>
        <v>672.21319999999992</v>
      </c>
      <c r="K38" s="270"/>
      <c r="L38" s="176">
        <f t="shared" si="5"/>
        <v>54.422596800000001</v>
      </c>
      <c r="M38" s="176"/>
      <c r="N38" s="271">
        <f t="shared" ref="N38:N42" si="8">(J38-L38)+N37</f>
        <v>-2710.7147503999995</v>
      </c>
      <c r="O38" s="128"/>
      <c r="P38" s="90"/>
      <c r="Q38" s="90"/>
      <c r="R38" s="105"/>
      <c r="S38" s="105"/>
      <c r="U38" s="179" t="s">
        <v>281</v>
      </c>
      <c r="V38" s="179"/>
      <c r="W38" s="270">
        <f t="shared" si="6"/>
        <v>16731.025600000001</v>
      </c>
      <c r="X38" s="270"/>
      <c r="Y38" s="176">
        <f t="shared" si="0"/>
        <v>1810.7080991999999</v>
      </c>
      <c r="Z38" s="176"/>
      <c r="AA38" s="271">
        <f t="shared" ref="AA38:AA40" si="9">(W38-Y38)+AA37</f>
        <v>-48595.984137599997</v>
      </c>
      <c r="AB38" s="128"/>
      <c r="AC38" s="86"/>
      <c r="AD38" s="86"/>
      <c r="AE38" s="86"/>
      <c r="AF38" s="86"/>
      <c r="AG38" s="86"/>
      <c r="AI38" s="179" t="s">
        <v>281</v>
      </c>
      <c r="AJ38" s="179"/>
      <c r="AK38" s="271">
        <f t="shared" ref="AK38:AK48" si="10">$AK$24-$AK$23</f>
        <v>16.6075000000003</v>
      </c>
      <c r="AL38" s="271"/>
      <c r="AM38" s="281">
        <f t="shared" si="1"/>
        <v>104.65883999999998</v>
      </c>
      <c r="AN38" s="282"/>
      <c r="AO38" s="271">
        <f t="shared" si="2"/>
        <v>-16127.782020000001</v>
      </c>
      <c r="AP38" s="128"/>
      <c r="AR38" s="110" t="s">
        <v>281</v>
      </c>
      <c r="AS38" s="281">
        <f t="shared" si="7"/>
        <v>-6313.77</v>
      </c>
      <c r="AT38" s="146"/>
      <c r="AU38" s="271">
        <f t="shared" si="3"/>
        <v>-16127.782020000001</v>
      </c>
      <c r="AV38" s="128"/>
    </row>
    <row r="39" spans="8:49">
      <c r="H39" s="179" t="s">
        <v>282</v>
      </c>
      <c r="I39" s="179"/>
      <c r="J39" s="270">
        <f t="shared" si="4"/>
        <v>672.21319999999992</v>
      </c>
      <c r="K39" s="270"/>
      <c r="L39" s="176">
        <f t="shared" si="5"/>
        <v>54.422596800000001</v>
      </c>
      <c r="M39" s="176"/>
      <c r="N39" s="271">
        <f t="shared" si="8"/>
        <v>-2092.9241471999994</v>
      </c>
      <c r="O39" s="128"/>
      <c r="P39" s="90"/>
      <c r="Q39" s="90"/>
      <c r="R39" s="105"/>
      <c r="S39" s="105"/>
      <c r="U39" s="179" t="s">
        <v>282</v>
      </c>
      <c r="V39" s="179"/>
      <c r="W39" s="270">
        <f t="shared" si="6"/>
        <v>16731.025600000001</v>
      </c>
      <c r="X39" s="270"/>
      <c r="Y39" s="176">
        <f t="shared" si="0"/>
        <v>1810.7080991999999</v>
      </c>
      <c r="Z39" s="176"/>
      <c r="AA39" s="271">
        <f t="shared" si="9"/>
        <v>-33675.666636799993</v>
      </c>
      <c r="AB39" s="128"/>
      <c r="AC39" s="86"/>
      <c r="AD39" s="86"/>
      <c r="AE39" s="86"/>
      <c r="AF39" s="86"/>
      <c r="AG39" s="86"/>
      <c r="AI39" s="179" t="s">
        <v>282</v>
      </c>
      <c r="AJ39" s="179"/>
      <c r="AK39" s="271">
        <f t="shared" si="10"/>
        <v>16.6075000000003</v>
      </c>
      <c r="AL39" s="271"/>
      <c r="AM39" s="281">
        <f t="shared" si="1"/>
        <v>104.65883999999998</v>
      </c>
      <c r="AN39" s="282"/>
      <c r="AO39" s="271">
        <f t="shared" si="2"/>
        <v>-16215.833360000001</v>
      </c>
      <c r="AP39" s="128"/>
      <c r="AR39" s="110" t="s">
        <v>282</v>
      </c>
      <c r="AS39" s="281">
        <f t="shared" si="7"/>
        <v>-7892.2125000000005</v>
      </c>
      <c r="AT39" s="146"/>
      <c r="AU39" s="271">
        <f t="shared" si="3"/>
        <v>-16215.833360000001</v>
      </c>
      <c r="AV39" s="128"/>
    </row>
    <row r="40" spans="8:49">
      <c r="H40" s="179" t="s">
        <v>283</v>
      </c>
      <c r="I40" s="179"/>
      <c r="J40" s="270">
        <f t="shared" si="4"/>
        <v>672.21319999999992</v>
      </c>
      <c r="K40" s="270"/>
      <c r="L40" s="176">
        <f t="shared" si="5"/>
        <v>54.422596800000001</v>
      </c>
      <c r="M40" s="176"/>
      <c r="N40" s="271">
        <f t="shared" si="8"/>
        <v>-1475.1335439999993</v>
      </c>
      <c r="O40" s="128"/>
      <c r="P40" s="90"/>
      <c r="Q40" s="90"/>
      <c r="R40" s="105"/>
      <c r="S40" s="105"/>
      <c r="U40" s="179" t="s">
        <v>283</v>
      </c>
      <c r="V40" s="179"/>
      <c r="W40" s="270">
        <f t="shared" si="6"/>
        <v>16731.025600000001</v>
      </c>
      <c r="X40" s="270"/>
      <c r="Y40" s="176">
        <f t="shared" si="0"/>
        <v>1810.7080991999999</v>
      </c>
      <c r="Z40" s="176"/>
      <c r="AA40" s="271">
        <f t="shared" si="9"/>
        <v>-18755.34913599999</v>
      </c>
      <c r="AB40" s="128"/>
      <c r="AC40" s="86"/>
      <c r="AD40" s="86"/>
      <c r="AE40" s="86"/>
      <c r="AF40" s="86"/>
      <c r="AG40" s="86"/>
      <c r="AI40" s="179" t="s">
        <v>283</v>
      </c>
      <c r="AJ40" s="179"/>
      <c r="AK40" s="271">
        <f t="shared" si="10"/>
        <v>16.6075000000003</v>
      </c>
      <c r="AL40" s="271"/>
      <c r="AM40" s="281">
        <f t="shared" si="1"/>
        <v>104.65883999999998</v>
      </c>
      <c r="AN40" s="282"/>
      <c r="AO40" s="271">
        <f t="shared" si="2"/>
        <v>-16303.884700000001</v>
      </c>
      <c r="AP40" s="128"/>
      <c r="AR40" s="110" t="s">
        <v>283</v>
      </c>
      <c r="AS40" s="281">
        <f t="shared" si="7"/>
        <v>-9470.6550000000007</v>
      </c>
      <c r="AT40" s="146"/>
      <c r="AU40" s="271">
        <f t="shared" si="3"/>
        <v>-16303.884700000001</v>
      </c>
      <c r="AV40" s="128"/>
    </row>
    <row r="41" spans="8:49">
      <c r="H41" s="179" t="s">
        <v>287</v>
      </c>
      <c r="I41" s="179"/>
      <c r="J41" s="270">
        <f t="shared" si="4"/>
        <v>672.21319999999992</v>
      </c>
      <c r="K41" s="270"/>
      <c r="L41" s="176">
        <f t="shared" si="5"/>
        <v>54.422596800000001</v>
      </c>
      <c r="M41" s="176"/>
      <c r="N41" s="271">
        <f t="shared" si="8"/>
        <v>-857.34294079999938</v>
      </c>
      <c r="O41" s="128"/>
      <c r="P41" s="90"/>
      <c r="Q41" s="90"/>
      <c r="R41" s="105"/>
      <c r="S41" s="105"/>
      <c r="U41" s="179" t="s">
        <v>287</v>
      </c>
      <c r="V41" s="179"/>
      <c r="W41" s="270">
        <f t="shared" si="6"/>
        <v>16731.025600000001</v>
      </c>
      <c r="X41" s="270"/>
      <c r="Y41" s="176">
        <f t="shared" si="0"/>
        <v>1810.7080991999999</v>
      </c>
      <c r="Z41" s="176"/>
      <c r="AA41" s="271">
        <f t="shared" ref="AA41:AA44" si="11">(W41-Y41)+AA40</f>
        <v>-3835.0316351999882</v>
      </c>
      <c r="AB41" s="128"/>
      <c r="AC41" s="86"/>
      <c r="AD41" s="86"/>
      <c r="AE41" s="86"/>
      <c r="AF41" s="86"/>
      <c r="AG41" s="86"/>
      <c r="AI41" s="179" t="s">
        <v>287</v>
      </c>
      <c r="AJ41" s="179"/>
      <c r="AK41" s="271">
        <f t="shared" si="10"/>
        <v>16.6075000000003</v>
      </c>
      <c r="AL41" s="271"/>
      <c r="AM41" s="281">
        <f t="shared" si="1"/>
        <v>104.65883999999998</v>
      </c>
      <c r="AN41" s="282"/>
      <c r="AO41" s="271">
        <f t="shared" si="2"/>
        <v>-16391.936040000001</v>
      </c>
      <c r="AP41" s="128"/>
      <c r="AR41" s="110" t="s">
        <v>287</v>
      </c>
      <c r="AS41" s="281">
        <f t="shared" si="7"/>
        <v>-11049.0975</v>
      </c>
      <c r="AT41" s="146"/>
      <c r="AU41" s="271">
        <f t="shared" si="3"/>
        <v>-16391.936040000001</v>
      </c>
      <c r="AV41" s="128"/>
    </row>
    <row r="42" spans="8:49">
      <c r="H42" s="179" t="s">
        <v>288</v>
      </c>
      <c r="I42" s="179"/>
      <c r="J42" s="270">
        <f t="shared" si="4"/>
        <v>672.21319999999992</v>
      </c>
      <c r="K42" s="270"/>
      <c r="L42" s="176">
        <f t="shared" si="5"/>
        <v>54.422596800000001</v>
      </c>
      <c r="M42" s="176"/>
      <c r="N42" s="271">
        <f t="shared" si="8"/>
        <v>-239.55233759999942</v>
      </c>
      <c r="O42" s="128"/>
      <c r="P42" s="90"/>
      <c r="Q42" s="90"/>
      <c r="R42" s="105"/>
      <c r="S42" s="105"/>
      <c r="U42" s="179" t="s">
        <v>288</v>
      </c>
      <c r="V42" s="179"/>
      <c r="W42" s="270">
        <f t="shared" si="6"/>
        <v>16731.025600000001</v>
      </c>
      <c r="X42" s="270"/>
      <c r="Y42" s="176">
        <f t="shared" si="0"/>
        <v>1810.7080991999999</v>
      </c>
      <c r="Z42" s="176"/>
      <c r="AA42" s="271">
        <f t="shared" si="11"/>
        <v>11085.285865600013</v>
      </c>
      <c r="AB42" s="128"/>
      <c r="AC42" s="86"/>
      <c r="AD42" s="86"/>
      <c r="AE42" s="86"/>
      <c r="AF42" s="86"/>
      <c r="AG42" s="86"/>
      <c r="AI42" s="179" t="s">
        <v>288</v>
      </c>
      <c r="AJ42" s="179"/>
      <c r="AK42" s="271">
        <f t="shared" si="10"/>
        <v>16.6075000000003</v>
      </c>
      <c r="AL42" s="271"/>
      <c r="AM42" s="176">
        <f t="shared" si="1"/>
        <v>104.65883999999998</v>
      </c>
      <c r="AN42" s="176"/>
      <c r="AO42" s="271">
        <f t="shared" si="2"/>
        <v>-16479.987379999999</v>
      </c>
      <c r="AP42" s="128"/>
      <c r="AR42" s="110" t="s">
        <v>288</v>
      </c>
      <c r="AS42" s="281">
        <f t="shared" si="7"/>
        <v>-12627.54</v>
      </c>
      <c r="AT42" s="146"/>
      <c r="AU42" s="271">
        <f t="shared" si="3"/>
        <v>-16479.987379999999</v>
      </c>
      <c r="AV42" s="128"/>
      <c r="AW42" s="69"/>
    </row>
    <row r="43" spans="8:49">
      <c r="H43" s="179" t="s">
        <v>289</v>
      </c>
      <c r="I43" s="179"/>
      <c r="J43" s="270">
        <f t="shared" si="4"/>
        <v>672.21319999999992</v>
      </c>
      <c r="K43" s="270"/>
      <c r="L43" s="176">
        <f t="shared" si="5"/>
        <v>54.422596800000001</v>
      </c>
      <c r="M43" s="176"/>
      <c r="N43" s="271">
        <f t="shared" ref="N43:N44" si="12">(J43-L43)+N42</f>
        <v>378.23826560000055</v>
      </c>
      <c r="O43" s="128"/>
      <c r="P43" s="90"/>
      <c r="Q43" s="90"/>
      <c r="R43" s="105"/>
      <c r="S43" s="105"/>
      <c r="U43" s="179" t="s">
        <v>289</v>
      </c>
      <c r="V43" s="179"/>
      <c r="W43" s="270">
        <f t="shared" si="6"/>
        <v>16731.025600000001</v>
      </c>
      <c r="X43" s="270"/>
      <c r="Y43" s="176">
        <f t="shared" si="0"/>
        <v>1810.7080991999999</v>
      </c>
      <c r="Z43" s="176"/>
      <c r="AA43" s="271">
        <f t="shared" si="11"/>
        <v>26005.603366400013</v>
      </c>
      <c r="AB43" s="128"/>
      <c r="AI43" s="179" t="s">
        <v>289</v>
      </c>
      <c r="AJ43" s="179"/>
      <c r="AK43" s="271">
        <f t="shared" si="10"/>
        <v>16.6075000000003</v>
      </c>
      <c r="AL43" s="271"/>
      <c r="AM43" s="176">
        <f t="shared" si="1"/>
        <v>104.65883999999998</v>
      </c>
      <c r="AN43" s="176"/>
      <c r="AO43" s="271">
        <f t="shared" ref="AO43:AO48" si="13">(AK43-AM43)+AO42</f>
        <v>-16568.038719999997</v>
      </c>
      <c r="AP43" s="128"/>
      <c r="AR43" s="110" t="s">
        <v>289</v>
      </c>
      <c r="AS43" s="281">
        <f t="shared" si="7"/>
        <v>-14205.982500000002</v>
      </c>
      <c r="AT43" s="146"/>
      <c r="AU43" s="271">
        <f t="shared" si="3"/>
        <v>-16568.038719999997</v>
      </c>
      <c r="AV43" s="128"/>
      <c r="AW43" s="69"/>
    </row>
    <row r="44" spans="8:49">
      <c r="H44" s="179" t="s">
        <v>290</v>
      </c>
      <c r="I44" s="179"/>
      <c r="J44" s="270">
        <f t="shared" si="4"/>
        <v>672.21319999999992</v>
      </c>
      <c r="K44" s="270"/>
      <c r="L44" s="176">
        <f t="shared" si="5"/>
        <v>54.422596800000001</v>
      </c>
      <c r="M44" s="176"/>
      <c r="N44" s="271">
        <f t="shared" si="12"/>
        <v>996.02886880000051</v>
      </c>
      <c r="O44" s="128"/>
      <c r="P44" s="90"/>
      <c r="Q44" s="90"/>
      <c r="R44" s="105"/>
      <c r="S44" s="105"/>
      <c r="U44" s="179" t="s">
        <v>290</v>
      </c>
      <c r="V44" s="179"/>
      <c r="W44" s="270">
        <f t="shared" si="6"/>
        <v>16731.025600000001</v>
      </c>
      <c r="X44" s="270"/>
      <c r="Y44" s="176">
        <f t="shared" si="0"/>
        <v>1810.7080991999999</v>
      </c>
      <c r="Z44" s="176"/>
      <c r="AA44" s="271">
        <f t="shared" si="11"/>
        <v>40925.920867200017</v>
      </c>
      <c r="AB44" s="128"/>
      <c r="AI44" s="179" t="s">
        <v>290</v>
      </c>
      <c r="AJ44" s="179"/>
      <c r="AK44" s="271">
        <f t="shared" si="10"/>
        <v>16.6075000000003</v>
      </c>
      <c r="AL44" s="271"/>
      <c r="AM44" s="176">
        <f t="shared" si="1"/>
        <v>104.65883999999998</v>
      </c>
      <c r="AN44" s="176"/>
      <c r="AO44" s="271">
        <f t="shared" si="13"/>
        <v>-16656.090059999995</v>
      </c>
      <c r="AP44" s="128"/>
      <c r="AR44" s="110" t="s">
        <v>290</v>
      </c>
      <c r="AS44" s="281">
        <f t="shared" si="7"/>
        <v>-15784.425000000003</v>
      </c>
      <c r="AT44" s="146"/>
      <c r="AU44" s="271">
        <f t="shared" si="3"/>
        <v>-16656.090059999995</v>
      </c>
      <c r="AV44" s="128"/>
      <c r="AW44" s="111"/>
    </row>
    <row r="45" spans="8:49">
      <c r="AI45" s="179" t="s">
        <v>291</v>
      </c>
      <c r="AJ45" s="179"/>
      <c r="AK45" s="271">
        <f t="shared" si="10"/>
        <v>16.6075000000003</v>
      </c>
      <c r="AL45" s="271"/>
      <c r="AM45" s="176">
        <f t="shared" si="1"/>
        <v>104.65883999999998</v>
      </c>
      <c r="AN45" s="176"/>
      <c r="AO45" s="271">
        <f t="shared" si="13"/>
        <v>-16744.141399999993</v>
      </c>
      <c r="AP45" s="128"/>
      <c r="AR45" s="110" t="s">
        <v>291</v>
      </c>
      <c r="AS45" s="281">
        <f t="shared" si="7"/>
        <v>-17362.867500000004</v>
      </c>
      <c r="AT45" s="146"/>
      <c r="AU45" s="271">
        <f t="shared" si="3"/>
        <v>-16744.141399999993</v>
      </c>
      <c r="AV45" s="128"/>
      <c r="AW45" s="111"/>
    </row>
    <row r="46" spans="8:49">
      <c r="AI46" s="179" t="s">
        <v>292</v>
      </c>
      <c r="AJ46" s="179"/>
      <c r="AK46" s="271">
        <f t="shared" si="10"/>
        <v>16.6075000000003</v>
      </c>
      <c r="AL46" s="271"/>
      <c r="AM46" s="176">
        <f t="shared" si="1"/>
        <v>104.65883999999998</v>
      </c>
      <c r="AN46" s="176"/>
      <c r="AO46" s="271">
        <f t="shared" si="13"/>
        <v>-16832.192739999991</v>
      </c>
      <c r="AP46" s="128"/>
      <c r="AR46" s="110" t="s">
        <v>292</v>
      </c>
      <c r="AS46" s="281">
        <f t="shared" si="7"/>
        <v>-18941.310000000005</v>
      </c>
      <c r="AT46" s="146"/>
      <c r="AU46" s="271">
        <f t="shared" si="3"/>
        <v>-16832.192739999991</v>
      </c>
      <c r="AV46" s="128"/>
      <c r="AW46" s="69"/>
    </row>
    <row r="47" spans="8:49">
      <c r="AI47" s="179" t="s">
        <v>293</v>
      </c>
      <c r="AJ47" s="179"/>
      <c r="AK47" s="271">
        <f t="shared" si="10"/>
        <v>16.6075000000003</v>
      </c>
      <c r="AL47" s="271"/>
      <c r="AM47" s="176">
        <f t="shared" si="1"/>
        <v>104.65883999999998</v>
      </c>
      <c r="AN47" s="176"/>
      <c r="AO47" s="271">
        <f t="shared" si="13"/>
        <v>-16920.244079999989</v>
      </c>
      <c r="AP47" s="128"/>
      <c r="AR47" s="110" t="s">
        <v>293</v>
      </c>
      <c r="AS47" s="281">
        <f t="shared" si="7"/>
        <v>-20519.752500000006</v>
      </c>
      <c r="AT47" s="146"/>
      <c r="AU47" s="271">
        <f t="shared" si="3"/>
        <v>-16920.244079999989</v>
      </c>
      <c r="AV47" s="128"/>
      <c r="AW47" s="69"/>
    </row>
    <row r="48" spans="8:49">
      <c r="AI48" s="179" t="s">
        <v>294</v>
      </c>
      <c r="AJ48" s="179"/>
      <c r="AK48" s="271">
        <f t="shared" si="10"/>
        <v>16.6075000000003</v>
      </c>
      <c r="AL48" s="271"/>
      <c r="AM48" s="176">
        <f t="shared" si="1"/>
        <v>104.65883999999998</v>
      </c>
      <c r="AN48" s="176"/>
      <c r="AO48" s="271">
        <f t="shared" si="13"/>
        <v>-17008.295419999988</v>
      </c>
      <c r="AP48" s="128"/>
      <c r="AR48" s="110" t="s">
        <v>294</v>
      </c>
      <c r="AS48" s="281">
        <f t="shared" si="7"/>
        <v>-22098.195000000007</v>
      </c>
      <c r="AT48" s="146"/>
      <c r="AU48" s="271">
        <f t="shared" ref="AU48" si="14">AO48</f>
        <v>-17008.295419999988</v>
      </c>
      <c r="AV48" s="128"/>
    </row>
  </sheetData>
  <mergeCells count="311">
    <mergeCell ref="AS41:AT41"/>
    <mergeCell ref="AS42:AT42"/>
    <mergeCell ref="AS43:AT43"/>
    <mergeCell ref="AS44:AT44"/>
    <mergeCell ref="AS45:AT45"/>
    <mergeCell ref="AS46:AT46"/>
    <mergeCell ref="AS47:AT47"/>
    <mergeCell ref="AS48:AT48"/>
    <mergeCell ref="AU48:AV48"/>
    <mergeCell ref="AU47:AV47"/>
    <mergeCell ref="AU46:AV46"/>
    <mergeCell ref="AU45:AV45"/>
    <mergeCell ref="AU44:AV44"/>
    <mergeCell ref="AU43:AV43"/>
    <mergeCell ref="AU42:AV42"/>
    <mergeCell ref="AU41:AV41"/>
    <mergeCell ref="AS34:AT34"/>
    <mergeCell ref="AU34:AV34"/>
    <mergeCell ref="AS35:AT35"/>
    <mergeCell ref="AU35:AV35"/>
    <mergeCell ref="AS36:AT36"/>
    <mergeCell ref="AS37:AT37"/>
    <mergeCell ref="AS38:AT38"/>
    <mergeCell ref="AS39:AT39"/>
    <mergeCell ref="AS40:AT40"/>
    <mergeCell ref="AU40:AV40"/>
    <mergeCell ref="AU39:AV39"/>
    <mergeCell ref="AU38:AV38"/>
    <mergeCell ref="AU37:AV37"/>
    <mergeCell ref="AU36:AV36"/>
    <mergeCell ref="AO43:AP43"/>
    <mergeCell ref="AO44:AP44"/>
    <mergeCell ref="AO45:AP45"/>
    <mergeCell ref="AO46:AP46"/>
    <mergeCell ref="AO47:AP47"/>
    <mergeCell ref="AO48:AP48"/>
    <mergeCell ref="AI43:AJ43"/>
    <mergeCell ref="AK43:AL43"/>
    <mergeCell ref="AM43:AN43"/>
    <mergeCell ref="AI44:AJ44"/>
    <mergeCell ref="AK44:AL44"/>
    <mergeCell ref="AM44:AN44"/>
    <mergeCell ref="AI45:AJ45"/>
    <mergeCell ref="AI46:AJ46"/>
    <mergeCell ref="AI47:AJ47"/>
    <mergeCell ref="AK45:AL45"/>
    <mergeCell ref="AM45:AN45"/>
    <mergeCell ref="AK46:AL46"/>
    <mergeCell ref="AK47:AL47"/>
    <mergeCell ref="AK48:AL48"/>
    <mergeCell ref="AM46:AN46"/>
    <mergeCell ref="AM47:AN47"/>
    <mergeCell ref="AM48:AN48"/>
    <mergeCell ref="AI48:AJ48"/>
    <mergeCell ref="B3:D3"/>
    <mergeCell ref="B5:C5"/>
    <mergeCell ref="D5:E5"/>
    <mergeCell ref="B6:C6"/>
    <mergeCell ref="D6:E6"/>
    <mergeCell ref="B7:C7"/>
    <mergeCell ref="D7:E7"/>
    <mergeCell ref="B25:D26"/>
    <mergeCell ref="E25:E26"/>
    <mergeCell ref="B16:C16"/>
    <mergeCell ref="D16:E16"/>
    <mergeCell ref="B17:C17"/>
    <mergeCell ref="D17:E17"/>
    <mergeCell ref="B18:C18"/>
    <mergeCell ref="D18:E18"/>
    <mergeCell ref="B21:C21"/>
    <mergeCell ref="J7:K7"/>
    <mergeCell ref="H8:I8"/>
    <mergeCell ref="J8:K8"/>
    <mergeCell ref="H9:I9"/>
    <mergeCell ref="J9:K9"/>
    <mergeCell ref="M22:P22"/>
    <mergeCell ref="M23:P23"/>
    <mergeCell ref="M24:P24"/>
    <mergeCell ref="AM37:AN37"/>
    <mergeCell ref="AN23:AQ23"/>
    <mergeCell ref="AN24:AQ24"/>
    <mergeCell ref="AN22:AQ22"/>
    <mergeCell ref="B22:C22"/>
    <mergeCell ref="D22:E22"/>
    <mergeCell ref="B23:C23"/>
    <mergeCell ref="D23:E23"/>
    <mergeCell ref="B14:C14"/>
    <mergeCell ref="B15:C15"/>
    <mergeCell ref="D15:E15"/>
    <mergeCell ref="B8:C8"/>
    <mergeCell ref="D8:E8"/>
    <mergeCell ref="B9:C9"/>
    <mergeCell ref="D9:E9"/>
    <mergeCell ref="B10:C10"/>
    <mergeCell ref="D10:E10"/>
    <mergeCell ref="D21:E21"/>
    <mergeCell ref="B19:C19"/>
    <mergeCell ref="D19:E19"/>
    <mergeCell ref="B20:C20"/>
    <mergeCell ref="D20:E20"/>
    <mergeCell ref="J25:K25"/>
    <mergeCell ref="H28:K28"/>
    <mergeCell ref="H29:K29"/>
    <mergeCell ref="H30:K30"/>
    <mergeCell ref="H31:K31"/>
    <mergeCell ref="H3:I3"/>
    <mergeCell ref="H18:K18"/>
    <mergeCell ref="B28:D28"/>
    <mergeCell ref="H21:I21"/>
    <mergeCell ref="H22:I22"/>
    <mergeCell ref="J22:K22"/>
    <mergeCell ref="H23:I23"/>
    <mergeCell ref="J23:K23"/>
    <mergeCell ref="H24:I24"/>
    <mergeCell ref="J24:K24"/>
    <mergeCell ref="H25:I25"/>
    <mergeCell ref="H13:I13"/>
    <mergeCell ref="J13:K13"/>
    <mergeCell ref="H15:I15"/>
    <mergeCell ref="J15:K15"/>
    <mergeCell ref="H17:I17"/>
    <mergeCell ref="J17:K17"/>
    <mergeCell ref="H6:I6"/>
    <mergeCell ref="H7:I7"/>
    <mergeCell ref="H36:I36"/>
    <mergeCell ref="J36:K36"/>
    <mergeCell ref="L36:M36"/>
    <mergeCell ref="N36:O36"/>
    <mergeCell ref="H37:I37"/>
    <mergeCell ref="J37:K37"/>
    <mergeCell ref="L37:M37"/>
    <mergeCell ref="N37:O37"/>
    <mergeCell ref="J34:K34"/>
    <mergeCell ref="L34:M34"/>
    <mergeCell ref="N34:O34"/>
    <mergeCell ref="H35:I35"/>
    <mergeCell ref="J35:K35"/>
    <mergeCell ref="L35:M35"/>
    <mergeCell ref="N35:O35"/>
    <mergeCell ref="H40:I40"/>
    <mergeCell ref="J40:K40"/>
    <mergeCell ref="L40:M40"/>
    <mergeCell ref="N40:O40"/>
    <mergeCell ref="J41:K41"/>
    <mergeCell ref="J42:K42"/>
    <mergeCell ref="H38:I38"/>
    <mergeCell ref="J38:K38"/>
    <mergeCell ref="L38:M38"/>
    <mergeCell ref="N38:O38"/>
    <mergeCell ref="H39:I39"/>
    <mergeCell ref="J39:K39"/>
    <mergeCell ref="L39:M39"/>
    <mergeCell ref="N39:O39"/>
    <mergeCell ref="N44:O44"/>
    <mergeCell ref="N43:O43"/>
    <mergeCell ref="N42:O42"/>
    <mergeCell ref="N41:O41"/>
    <mergeCell ref="H41:I41"/>
    <mergeCell ref="H42:I42"/>
    <mergeCell ref="H43:I43"/>
    <mergeCell ref="H44:I44"/>
    <mergeCell ref="J43:K43"/>
    <mergeCell ref="J44:K44"/>
    <mergeCell ref="L44:M44"/>
    <mergeCell ref="L41:M41"/>
    <mergeCell ref="L42:M42"/>
    <mergeCell ref="L43:M43"/>
    <mergeCell ref="U9:V9"/>
    <mergeCell ref="W9:X9"/>
    <mergeCell ref="U13:V13"/>
    <mergeCell ref="W13:X13"/>
    <mergeCell ref="U15:V15"/>
    <mergeCell ref="W15:X15"/>
    <mergeCell ref="U3:V3"/>
    <mergeCell ref="U6:V6"/>
    <mergeCell ref="U7:V7"/>
    <mergeCell ref="W7:X7"/>
    <mergeCell ref="U8:V8"/>
    <mergeCell ref="W8:X8"/>
    <mergeCell ref="U23:V23"/>
    <mergeCell ref="W23:X23"/>
    <mergeCell ref="U24:V24"/>
    <mergeCell ref="W24:X24"/>
    <mergeCell ref="U25:V25"/>
    <mergeCell ref="W25:X25"/>
    <mergeCell ref="U17:V17"/>
    <mergeCell ref="W17:X17"/>
    <mergeCell ref="U18:X18"/>
    <mergeCell ref="U21:V21"/>
    <mergeCell ref="U22:V22"/>
    <mergeCell ref="W22:X22"/>
    <mergeCell ref="W36:X36"/>
    <mergeCell ref="Y36:Z36"/>
    <mergeCell ref="AA36:AB36"/>
    <mergeCell ref="U28:X28"/>
    <mergeCell ref="U29:X29"/>
    <mergeCell ref="U30:X30"/>
    <mergeCell ref="U31:X31"/>
    <mergeCell ref="W34:X34"/>
    <mergeCell ref="Y34:Z34"/>
    <mergeCell ref="AI3:AJ3"/>
    <mergeCell ref="AI6:AJ6"/>
    <mergeCell ref="AI7:AJ7"/>
    <mergeCell ref="AK7:AL7"/>
    <mergeCell ref="AI8:AJ8"/>
    <mergeCell ref="AK8:AL8"/>
    <mergeCell ref="U41:V41"/>
    <mergeCell ref="W41:X41"/>
    <mergeCell ref="Y41:Z41"/>
    <mergeCell ref="AA41:AB41"/>
    <mergeCell ref="U39:V39"/>
    <mergeCell ref="W39:X39"/>
    <mergeCell ref="Y39:Z39"/>
    <mergeCell ref="AA39:AB39"/>
    <mergeCell ref="U40:V40"/>
    <mergeCell ref="W40:X40"/>
    <mergeCell ref="Y40:Z40"/>
    <mergeCell ref="AA40:AB40"/>
    <mergeCell ref="U37:V37"/>
    <mergeCell ref="W37:X37"/>
    <mergeCell ref="Y37:Z37"/>
    <mergeCell ref="AA37:AB37"/>
    <mergeCell ref="U38:V38"/>
    <mergeCell ref="W38:X38"/>
    <mergeCell ref="AI21:AJ21"/>
    <mergeCell ref="AI22:AJ22"/>
    <mergeCell ref="AK22:AL22"/>
    <mergeCell ref="AI9:AJ9"/>
    <mergeCell ref="AK9:AL9"/>
    <mergeCell ref="AI13:AJ13"/>
    <mergeCell ref="AK13:AL13"/>
    <mergeCell ref="AI15:AJ15"/>
    <mergeCell ref="AK15:AL15"/>
    <mergeCell ref="AO37:AP37"/>
    <mergeCell ref="AI38:AJ38"/>
    <mergeCell ref="AK38:AL38"/>
    <mergeCell ref="AM38:AN38"/>
    <mergeCell ref="AO38:AP38"/>
    <mergeCell ref="AO34:AP34"/>
    <mergeCell ref="AI35:AJ35"/>
    <mergeCell ref="AK35:AL35"/>
    <mergeCell ref="AM35:AN35"/>
    <mergeCell ref="AO35:AP35"/>
    <mergeCell ref="AI36:AJ36"/>
    <mergeCell ref="AK36:AL36"/>
    <mergeCell ref="AM36:AN36"/>
    <mergeCell ref="AO36:AP36"/>
    <mergeCell ref="AK34:AL34"/>
    <mergeCell ref="AM34:AN34"/>
    <mergeCell ref="AO41:AP41"/>
    <mergeCell ref="AI42:AJ42"/>
    <mergeCell ref="AK42:AL42"/>
    <mergeCell ref="AM42:AN42"/>
    <mergeCell ref="AO42:AP42"/>
    <mergeCell ref="AI39:AJ39"/>
    <mergeCell ref="AK39:AL39"/>
    <mergeCell ref="AM39:AN39"/>
    <mergeCell ref="AO39:AP39"/>
    <mergeCell ref="AI40:AJ40"/>
    <mergeCell ref="AK40:AL40"/>
    <mergeCell ref="AM40:AN40"/>
    <mergeCell ref="AO40:AP40"/>
    <mergeCell ref="AM41:AN41"/>
    <mergeCell ref="AA13:AB13"/>
    <mergeCell ref="AC13:AD13"/>
    <mergeCell ref="AA15:AB15"/>
    <mergeCell ref="AC15:AD15"/>
    <mergeCell ref="AA17:AB17"/>
    <mergeCell ref="AC17:AD17"/>
    <mergeCell ref="AI41:AJ41"/>
    <mergeCell ref="AK41:AL41"/>
    <mergeCell ref="AI37:AJ37"/>
    <mergeCell ref="AK37:AL37"/>
    <mergeCell ref="AI28:AL28"/>
    <mergeCell ref="AI29:AL29"/>
    <mergeCell ref="AI30:AL30"/>
    <mergeCell ref="AI31:AL31"/>
    <mergeCell ref="AI23:AJ23"/>
    <mergeCell ref="AK23:AL23"/>
    <mergeCell ref="AI24:AJ24"/>
    <mergeCell ref="AK24:AL24"/>
    <mergeCell ref="AI25:AJ25"/>
    <mergeCell ref="AK25:AL25"/>
    <mergeCell ref="AI17:AJ17"/>
    <mergeCell ref="AK17:AL17"/>
    <mergeCell ref="AA18:AD18"/>
    <mergeCell ref="AI18:AL18"/>
    <mergeCell ref="U43:V43"/>
    <mergeCell ref="W43:X43"/>
    <mergeCell ref="Y43:Z43"/>
    <mergeCell ref="AA43:AB43"/>
    <mergeCell ref="U44:V44"/>
    <mergeCell ref="W44:X44"/>
    <mergeCell ref="Y44:Z44"/>
    <mergeCell ref="AA44:AB44"/>
    <mergeCell ref="AA22:AD22"/>
    <mergeCell ref="AA23:AD23"/>
    <mergeCell ref="AA24:AD24"/>
    <mergeCell ref="AA25:AD25"/>
    <mergeCell ref="U42:V42"/>
    <mergeCell ref="W42:X42"/>
    <mergeCell ref="Y42:Z42"/>
    <mergeCell ref="AA42:AB42"/>
    <mergeCell ref="Y38:Z38"/>
    <mergeCell ref="AA38:AB38"/>
    <mergeCell ref="AA34:AB34"/>
    <mergeCell ref="U35:V35"/>
    <mergeCell ref="W35:X35"/>
    <mergeCell ref="Y35:Z35"/>
    <mergeCell ref="AA35:AB35"/>
    <mergeCell ref="U36:V36"/>
  </mergeCells>
  <pageMargins left="0.7" right="0.7" top="0.75" bottom="0.75" header="0.3" footer="0.3"/>
  <pageSetup paperSize="9" orientation="portrait" horizontalDpi="300" verticalDpi="300" r:id="rId1"/>
  <ignoredErrors>
    <ignoredError sqref="L14:L17 AM14:AM17 Y14:Y17 AE14:AE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I25"/>
  <sheetViews>
    <sheetView zoomScale="70" zoomScaleNormal="70" workbookViewId="0">
      <selection activeCell="G26" sqref="G26"/>
    </sheetView>
  </sheetViews>
  <sheetFormatPr baseColWidth="10" defaultRowHeight="15"/>
  <cols>
    <col min="3" max="3" width="20.7109375" customWidth="1"/>
    <col min="4" max="4" width="19.85546875" customWidth="1"/>
  </cols>
  <sheetData>
    <row r="2" spans="2:5" ht="15.75" thickBot="1"/>
    <row r="3" spans="2:5">
      <c r="C3" s="331" t="s">
        <v>158</v>
      </c>
      <c r="D3" s="332"/>
      <c r="E3" s="333"/>
    </row>
    <row r="4" spans="2:5">
      <c r="B4" s="118"/>
      <c r="C4" s="334" t="s">
        <v>159</v>
      </c>
      <c r="D4" s="240"/>
      <c r="E4" s="112">
        <v>0.4</v>
      </c>
    </row>
    <row r="5" spans="2:5">
      <c r="B5" s="118"/>
      <c r="C5" s="334" t="s">
        <v>160</v>
      </c>
      <c r="D5" s="240"/>
      <c r="E5" s="112">
        <v>60</v>
      </c>
    </row>
    <row r="6" spans="2:5">
      <c r="B6" s="118"/>
      <c r="C6" s="299" t="s">
        <v>161</v>
      </c>
      <c r="D6" s="189"/>
      <c r="E6" s="112">
        <v>0.05</v>
      </c>
    </row>
    <row r="7" spans="2:5">
      <c r="C7" s="299" t="s">
        <v>162</v>
      </c>
      <c r="D7" s="189"/>
      <c r="E7" s="112">
        <f>(E4*E5)/E6</f>
        <v>480</v>
      </c>
    </row>
    <row r="8" spans="2:5">
      <c r="B8" s="118"/>
      <c r="C8" s="325" t="s">
        <v>163</v>
      </c>
      <c r="D8" s="326"/>
      <c r="E8" s="112">
        <v>0.6</v>
      </c>
    </row>
    <row r="9" spans="2:5">
      <c r="C9" s="325" t="s">
        <v>164</v>
      </c>
      <c r="D9" s="326"/>
      <c r="E9" s="112">
        <f>E7</f>
        <v>480</v>
      </c>
    </row>
    <row r="10" spans="2:5">
      <c r="C10" s="327" t="s">
        <v>165</v>
      </c>
      <c r="D10" s="328"/>
      <c r="E10" s="113">
        <f>E6</f>
        <v>0.05</v>
      </c>
    </row>
    <row r="11" spans="2:5" ht="15.75" thickBot="1">
      <c r="C11" s="329" t="s">
        <v>328</v>
      </c>
      <c r="D11" s="330"/>
      <c r="E11" s="114">
        <f>(E8*E9)/E10</f>
        <v>5760</v>
      </c>
    </row>
    <row r="16" spans="2:5" ht="15.75" thickBot="1"/>
    <row r="17" spans="6:9" ht="15.75" thickBot="1">
      <c r="F17" s="117"/>
      <c r="G17" s="317" t="s">
        <v>325</v>
      </c>
      <c r="H17" s="318"/>
      <c r="I17" s="319"/>
    </row>
    <row r="18" spans="6:9" ht="15.75" thickBot="1">
      <c r="F18" s="115"/>
      <c r="G18" s="320" t="s">
        <v>326</v>
      </c>
      <c r="H18" s="320"/>
      <c r="I18" s="321"/>
    </row>
    <row r="19" spans="6:9" ht="15.75" thickBot="1">
      <c r="F19" s="116"/>
      <c r="G19" s="322" t="s">
        <v>327</v>
      </c>
      <c r="H19" s="323"/>
      <c r="I19" s="324"/>
    </row>
    <row r="23" spans="6:9">
      <c r="G23" s="32"/>
    </row>
    <row r="24" spans="6:9">
      <c r="G24" s="32"/>
    </row>
    <row r="25" spans="6:9">
      <c r="G25" s="32"/>
    </row>
  </sheetData>
  <mergeCells count="12">
    <mergeCell ref="C8:D8"/>
    <mergeCell ref="C3:E3"/>
    <mergeCell ref="C4:D4"/>
    <mergeCell ref="C5:D5"/>
    <mergeCell ref="C6:D6"/>
    <mergeCell ref="C7:D7"/>
    <mergeCell ref="G17:I17"/>
    <mergeCell ref="G18:I18"/>
    <mergeCell ref="G19:I19"/>
    <mergeCell ref="C9:D9"/>
    <mergeCell ref="C10:D10"/>
    <mergeCell ref="C11:D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zoomScale="50" zoomScaleNormal="50" workbookViewId="0">
      <selection activeCell="L37" sqref="L37"/>
    </sheetView>
  </sheetViews>
  <sheetFormatPr baseColWidth="10"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H23"/>
  <sheetViews>
    <sheetView zoomScale="50" zoomScaleNormal="50" workbookViewId="0">
      <selection activeCell="T30" sqref="T30"/>
    </sheetView>
  </sheetViews>
  <sheetFormatPr baseColWidth="10" defaultRowHeight="15"/>
  <cols>
    <col min="2" max="2" width="7.7109375" customWidth="1"/>
    <col min="3" max="3" width="9.7109375" customWidth="1"/>
    <col min="4" max="4" width="37.85546875" customWidth="1"/>
    <col min="5" max="5" width="14.5703125" customWidth="1"/>
    <col min="6" max="6" width="10.28515625" customWidth="1"/>
    <col min="7" max="7" width="21" customWidth="1"/>
  </cols>
  <sheetData>
    <row r="3" spans="3:8">
      <c r="C3" s="36" t="s">
        <v>104</v>
      </c>
      <c r="D3" s="36" t="s">
        <v>105</v>
      </c>
      <c r="E3" s="36" t="s">
        <v>106</v>
      </c>
      <c r="F3" s="36" t="s">
        <v>107</v>
      </c>
      <c r="G3" s="36" t="s">
        <v>108</v>
      </c>
      <c r="H3" s="32"/>
    </row>
    <row r="4" spans="3:8">
      <c r="C4" s="33">
        <v>1</v>
      </c>
      <c r="D4" s="37" t="s">
        <v>109</v>
      </c>
      <c r="E4" s="35">
        <v>43054</v>
      </c>
      <c r="F4" s="1">
        <v>82</v>
      </c>
      <c r="G4" s="35">
        <f>E4+F4</f>
        <v>43136</v>
      </c>
      <c r="H4" s="32"/>
    </row>
    <row r="5" spans="3:8">
      <c r="C5" s="33">
        <v>2</v>
      </c>
      <c r="D5" s="34" t="s">
        <v>115</v>
      </c>
      <c r="E5" s="35">
        <v>43059</v>
      </c>
      <c r="F5" s="1">
        <v>35</v>
      </c>
      <c r="G5" s="35">
        <f t="shared" ref="G5:G19" si="0">E5+F5</f>
        <v>43094</v>
      </c>
      <c r="H5" s="32"/>
    </row>
    <row r="6" spans="3:8">
      <c r="C6" s="33">
        <v>3</v>
      </c>
      <c r="D6" s="34" t="s">
        <v>124</v>
      </c>
      <c r="E6" s="35">
        <f>G5</f>
        <v>43094</v>
      </c>
      <c r="F6" s="1">
        <v>42</v>
      </c>
      <c r="G6" s="35">
        <f t="shared" si="0"/>
        <v>43136</v>
      </c>
      <c r="H6" s="32"/>
    </row>
    <row r="7" spans="3:8">
      <c r="C7" s="33">
        <v>4</v>
      </c>
      <c r="D7" s="37" t="s">
        <v>110</v>
      </c>
      <c r="E7" s="35">
        <v>43136</v>
      </c>
      <c r="F7" s="1">
        <v>16</v>
      </c>
      <c r="G7" s="35">
        <f t="shared" si="0"/>
        <v>43152</v>
      </c>
      <c r="H7" s="32"/>
    </row>
    <row r="8" spans="3:8">
      <c r="C8" s="33">
        <v>5</v>
      </c>
      <c r="D8" s="34" t="s">
        <v>123</v>
      </c>
      <c r="E8" s="35">
        <f>E7+5</f>
        <v>43141</v>
      </c>
      <c r="F8" s="1">
        <v>11</v>
      </c>
      <c r="G8" s="35">
        <f t="shared" si="0"/>
        <v>43152</v>
      </c>
      <c r="H8" s="32"/>
    </row>
    <row r="9" spans="3:8">
      <c r="C9" s="33">
        <v>6</v>
      </c>
      <c r="D9" s="37" t="s">
        <v>111</v>
      </c>
      <c r="E9" s="35">
        <v>43152</v>
      </c>
      <c r="F9" s="1">
        <v>30</v>
      </c>
      <c r="G9" s="35">
        <f t="shared" si="0"/>
        <v>43182</v>
      </c>
      <c r="H9" s="32"/>
    </row>
    <row r="10" spans="3:8">
      <c r="C10" s="33">
        <v>7</v>
      </c>
      <c r="D10" s="34" t="s">
        <v>116</v>
      </c>
      <c r="E10" s="35">
        <v>43155</v>
      </c>
      <c r="F10" s="1">
        <v>10</v>
      </c>
      <c r="G10" s="35">
        <f t="shared" si="0"/>
        <v>43165</v>
      </c>
      <c r="H10" s="32"/>
    </row>
    <row r="11" spans="3:8">
      <c r="C11" s="33">
        <v>8</v>
      </c>
      <c r="D11" s="34" t="s">
        <v>117</v>
      </c>
      <c r="E11" s="35">
        <f>G10</f>
        <v>43165</v>
      </c>
      <c r="F11" s="1">
        <v>7</v>
      </c>
      <c r="G11" s="35">
        <f t="shared" si="0"/>
        <v>43172</v>
      </c>
      <c r="H11" s="32"/>
    </row>
    <row r="12" spans="3:8">
      <c r="C12" s="33">
        <v>9</v>
      </c>
      <c r="D12" s="34" t="s">
        <v>118</v>
      </c>
      <c r="E12" s="35">
        <f>G11</f>
        <v>43172</v>
      </c>
      <c r="F12" s="1">
        <v>7</v>
      </c>
      <c r="G12" s="35">
        <f t="shared" si="0"/>
        <v>43179</v>
      </c>
      <c r="H12" s="32"/>
    </row>
    <row r="13" spans="3:8">
      <c r="C13" s="33">
        <v>10</v>
      </c>
      <c r="D13" s="34" t="s">
        <v>119</v>
      </c>
      <c r="E13" s="35">
        <f>G12</f>
        <v>43179</v>
      </c>
      <c r="F13" s="1">
        <v>3</v>
      </c>
      <c r="G13" s="35">
        <f t="shared" si="0"/>
        <v>43182</v>
      </c>
      <c r="H13" s="32"/>
    </row>
    <row r="14" spans="3:8">
      <c r="C14" s="33">
        <v>11</v>
      </c>
      <c r="D14" s="37" t="s">
        <v>112</v>
      </c>
      <c r="E14" s="35">
        <v>43182</v>
      </c>
      <c r="F14" s="1">
        <v>22</v>
      </c>
      <c r="G14" s="35">
        <f t="shared" si="0"/>
        <v>43204</v>
      </c>
      <c r="H14" s="32"/>
    </row>
    <row r="15" spans="3:8">
      <c r="C15" s="33">
        <v>12</v>
      </c>
      <c r="D15" s="34" t="s">
        <v>120</v>
      </c>
      <c r="E15" s="35">
        <f>E14</f>
        <v>43182</v>
      </c>
      <c r="F15" s="1">
        <v>7</v>
      </c>
      <c r="G15" s="35">
        <f t="shared" si="0"/>
        <v>43189</v>
      </c>
      <c r="H15" s="32"/>
    </row>
    <row r="16" spans="3:8">
      <c r="C16" s="33">
        <v>13</v>
      </c>
      <c r="D16" s="34" t="s">
        <v>121</v>
      </c>
      <c r="E16" s="35">
        <f>G15</f>
        <v>43189</v>
      </c>
      <c r="F16" s="1">
        <v>5</v>
      </c>
      <c r="G16" s="35">
        <f t="shared" si="0"/>
        <v>43194</v>
      </c>
      <c r="H16" s="32"/>
    </row>
    <row r="17" spans="3:8">
      <c r="C17" s="33">
        <v>14</v>
      </c>
      <c r="D17" s="34" t="s">
        <v>122</v>
      </c>
      <c r="E17" s="35">
        <f>G16</f>
        <v>43194</v>
      </c>
      <c r="F17" s="1">
        <v>10</v>
      </c>
      <c r="G17" s="35">
        <f t="shared" si="0"/>
        <v>43204</v>
      </c>
      <c r="H17" s="32"/>
    </row>
    <row r="18" spans="3:8">
      <c r="C18" s="33">
        <v>15</v>
      </c>
      <c r="D18" s="37" t="s">
        <v>113</v>
      </c>
      <c r="E18" s="35">
        <v>43204</v>
      </c>
      <c r="F18" s="1">
        <v>14</v>
      </c>
      <c r="G18" s="35">
        <f t="shared" si="0"/>
        <v>43218</v>
      </c>
      <c r="H18" s="32"/>
    </row>
    <row r="19" spans="3:8">
      <c r="C19" s="33">
        <v>16</v>
      </c>
      <c r="D19" s="37" t="s">
        <v>114</v>
      </c>
      <c r="E19" s="35">
        <v>43218</v>
      </c>
      <c r="F19" s="1">
        <v>54</v>
      </c>
      <c r="G19" s="35">
        <f t="shared" si="0"/>
        <v>43272</v>
      </c>
      <c r="H19" s="32"/>
    </row>
    <row r="20" spans="3:8">
      <c r="H20" s="32"/>
    </row>
    <row r="23" spans="3:8">
      <c r="E23" s="38">
        <v>43054</v>
      </c>
      <c r="G23" s="38">
        <v>43272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ATLAS</vt:lpstr>
      <vt:lpstr>EST. OFICIAL</vt:lpstr>
      <vt:lpstr>SPINNING</vt:lpstr>
      <vt:lpstr>FOTOVOLTAICA</vt:lpstr>
      <vt:lpstr>BATERÍAS</vt:lpstr>
      <vt:lpstr>PRESUPUESTO</vt:lpstr>
      <vt:lpstr>RELACIÓN TRANSMISIÓN</vt:lpstr>
      <vt:lpstr>DIAGRAMA ÁRBOL</vt:lpstr>
      <vt:lpstr>DIAGRAMA GANTT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</dc:creator>
  <cp:lastModifiedBy>Danel</cp:lastModifiedBy>
  <dcterms:created xsi:type="dcterms:W3CDTF">2018-02-06T20:06:48Z</dcterms:created>
  <dcterms:modified xsi:type="dcterms:W3CDTF">2018-07-15T02:22:29Z</dcterms:modified>
</cp:coreProperties>
</file>