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5" activeTab="7"/>
  </bookViews>
  <sheets>
    <sheet name="Paneles" sheetId="1" r:id="rId1"/>
    <sheet name="Baterias" sheetId="4" r:id="rId2"/>
    <sheet name="Resumen materiales" sheetId="5" r:id="rId3"/>
    <sheet name="Tejado casa existente" sheetId="6" r:id="rId4"/>
    <sheet name="Presupuesto construcción casa" sheetId="7" r:id="rId5"/>
    <sheet name="Matriz de probabilidad e impact" sheetId="8" r:id="rId6"/>
    <sheet name="Regulador e inversor" sheetId="9" r:id="rId7"/>
    <sheet name="Rentabilidad" sheetId="10" r:id="rId8"/>
  </sheets>
  <definedNames>
    <definedName name="PVdata425937N_030036W_1kW_33deg__75deg_14__1" localSheetId="3">'Tejado casa existente'!$F$16:$X$45</definedName>
  </definedNames>
  <calcPr calcId="145621"/>
  <fileRecoveryPr repairLoad="1"/>
</workbook>
</file>

<file path=xl/calcChain.xml><?xml version="1.0" encoding="utf-8"?>
<calcChain xmlns="http://schemas.openxmlformats.org/spreadsheetml/2006/main">
  <c r="C7" i="10" l="1"/>
  <c r="J5" i="10"/>
  <c r="J6" i="10" s="1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L52" i="6"/>
  <c r="C3" i="10"/>
  <c r="E3" i="10"/>
  <c r="E4" i="10"/>
  <c r="D3" i="10"/>
  <c r="C6" i="10" l="1"/>
  <c r="J23" i="9"/>
  <c r="G24" i="9"/>
  <c r="C20" i="9"/>
  <c r="C22" i="9" s="1"/>
  <c r="C12" i="9"/>
  <c r="C11" i="9"/>
  <c r="D3" i="9"/>
  <c r="C8" i="7" l="1"/>
  <c r="C7" i="7"/>
  <c r="C3" i="7"/>
  <c r="C13" i="7" s="1"/>
  <c r="C4" i="7" l="1"/>
  <c r="C5" i="7" s="1"/>
  <c r="C9" i="7"/>
  <c r="C10" i="7" s="1"/>
  <c r="C12" i="7"/>
  <c r="O15" i="5"/>
  <c r="O14" i="5"/>
  <c r="O13" i="5"/>
  <c r="O12" i="5"/>
  <c r="Q10" i="5"/>
  <c r="O10" i="5"/>
  <c r="Q9" i="5"/>
  <c r="O9" i="5"/>
  <c r="Q8" i="5"/>
  <c r="O8" i="5"/>
  <c r="Q7" i="5"/>
  <c r="O7" i="5"/>
  <c r="Q6" i="5"/>
  <c r="O6" i="5"/>
  <c r="Q5" i="5"/>
  <c r="C16" i="7" l="1"/>
  <c r="R20" i="1"/>
  <c r="R19" i="1"/>
  <c r="R18" i="1"/>
  <c r="R17" i="1"/>
  <c r="R16" i="1"/>
  <c r="G39" i="6" l="1"/>
  <c r="K41" i="6" s="1"/>
  <c r="K42" i="6" s="1"/>
  <c r="B33" i="6"/>
  <c r="K32" i="6" s="1"/>
  <c r="K33" i="6" s="1"/>
  <c r="G17" i="6"/>
  <c r="I24" i="6" s="1"/>
  <c r="H6" i="5"/>
  <c r="H7" i="5"/>
  <c r="H8" i="5"/>
  <c r="H9" i="5"/>
  <c r="H10" i="5"/>
  <c r="H5" i="5"/>
  <c r="F13" i="5"/>
  <c r="F14" i="5"/>
  <c r="F15" i="5"/>
  <c r="F12" i="5"/>
  <c r="F7" i="5"/>
  <c r="F8" i="5"/>
  <c r="F9" i="5"/>
  <c r="F10" i="5"/>
  <c r="F6" i="5"/>
  <c r="J41" i="6" l="1"/>
  <c r="J42" i="6" s="1"/>
  <c r="G24" i="6"/>
  <c r="G27" i="6" s="1"/>
  <c r="L24" i="6"/>
  <c r="L27" i="6" s="1"/>
  <c r="K24" i="6"/>
  <c r="K34" i="6" s="1"/>
  <c r="H24" i="6"/>
  <c r="H27" i="6" s="1"/>
  <c r="G41" i="6"/>
  <c r="G42" i="6" s="1"/>
  <c r="I41" i="6"/>
  <c r="I42" i="6" s="1"/>
  <c r="L41" i="6"/>
  <c r="L42" i="6" s="1"/>
  <c r="H41" i="6"/>
  <c r="H42" i="6" s="1"/>
  <c r="I27" i="6"/>
  <c r="G32" i="6"/>
  <c r="G33" i="6" s="1"/>
  <c r="J24" i="6"/>
  <c r="L32" i="6"/>
  <c r="L33" i="6" s="1"/>
  <c r="H32" i="6"/>
  <c r="H33" i="6" s="1"/>
  <c r="H34" i="6" s="1"/>
  <c r="J32" i="6"/>
  <c r="J33" i="6" s="1"/>
  <c r="J34" i="6" s="1"/>
  <c r="I32" i="6"/>
  <c r="I33" i="6" s="1"/>
  <c r="I34" i="6" s="1"/>
  <c r="B4" i="4"/>
  <c r="B3" i="4"/>
  <c r="H46" i="1"/>
  <c r="E54" i="1" s="1"/>
  <c r="E60" i="1" s="1"/>
  <c r="D54" i="1" l="1"/>
  <c r="D60" i="1" s="1"/>
  <c r="H36" i="6"/>
  <c r="C54" i="1"/>
  <c r="C60" i="1" s="1"/>
  <c r="F54" i="1"/>
  <c r="F60" i="1" s="1"/>
  <c r="J36" i="6"/>
  <c r="B54" i="1"/>
  <c r="B60" i="1" s="1"/>
  <c r="F70" i="1"/>
  <c r="B70" i="1"/>
  <c r="G70" i="1"/>
  <c r="D70" i="1"/>
  <c r="C70" i="1"/>
  <c r="E70" i="1"/>
  <c r="I36" i="6"/>
  <c r="L34" i="6"/>
  <c r="L36" i="6" s="1"/>
  <c r="K36" i="6"/>
  <c r="G54" i="1"/>
  <c r="G60" i="1" s="1"/>
  <c r="K27" i="6"/>
  <c r="J27" i="6"/>
  <c r="G34" i="6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5" i="1"/>
  <c r="S17" i="1" s="1"/>
  <c r="G9" i="1"/>
  <c r="S16" i="1" l="1"/>
  <c r="S18" i="1"/>
  <c r="G36" i="6"/>
  <c r="S33" i="1"/>
  <c r="P33" i="1" s="1"/>
  <c r="P17" i="1"/>
  <c r="S25" i="1"/>
  <c r="P25" i="1" s="1"/>
  <c r="S19" i="1"/>
  <c r="S20" i="1"/>
  <c r="E31" i="1"/>
  <c r="I16" i="1" s="1"/>
  <c r="I18" i="1" s="1"/>
  <c r="L35" i="6" l="1"/>
  <c r="B61" i="1"/>
  <c r="B62" i="1" s="1"/>
  <c r="B63" i="1" s="1"/>
  <c r="B71" i="1"/>
  <c r="B72" i="1" s="1"/>
  <c r="C71" i="1"/>
  <c r="C72" i="1" s="1"/>
  <c r="G71" i="1"/>
  <c r="G72" i="1" s="1"/>
  <c r="D71" i="1"/>
  <c r="D72" i="1" s="1"/>
  <c r="E71" i="1"/>
  <c r="E72" i="1" s="1"/>
  <c r="F71" i="1"/>
  <c r="F72" i="1" s="1"/>
  <c r="J46" i="1"/>
  <c r="B5" i="4"/>
  <c r="B7" i="4" s="1"/>
  <c r="L28" i="6"/>
  <c r="L29" i="6" s="1"/>
  <c r="G28" i="6"/>
  <c r="G29" i="6" s="1"/>
  <c r="I28" i="6"/>
  <c r="I29" i="6" s="1"/>
  <c r="G18" i="6"/>
  <c r="H28" i="6"/>
  <c r="H29" i="6" s="1"/>
  <c r="B6" i="4"/>
  <c r="B8" i="4" s="1"/>
  <c r="C61" i="1"/>
  <c r="C62" i="1" s="1"/>
  <c r="G61" i="1"/>
  <c r="G62" i="1" s="1"/>
  <c r="D61" i="1"/>
  <c r="D62" i="1" s="1"/>
  <c r="E61" i="1"/>
  <c r="E62" i="1" s="1"/>
  <c r="F61" i="1"/>
  <c r="F62" i="1" s="1"/>
  <c r="H35" i="6"/>
  <c r="J35" i="6"/>
  <c r="K35" i="6"/>
  <c r="K28" i="6"/>
  <c r="K29" i="6" s="1"/>
  <c r="J28" i="6"/>
  <c r="J29" i="6" s="1"/>
  <c r="I35" i="6"/>
  <c r="G35" i="6"/>
  <c r="S26" i="1"/>
  <c r="P26" i="1" s="1"/>
  <c r="S34" i="1"/>
  <c r="P18" i="1"/>
  <c r="S27" i="1"/>
  <c r="P27" i="1" s="1"/>
  <c r="S35" i="1"/>
  <c r="P35" i="1" s="1"/>
  <c r="P19" i="1"/>
  <c r="S28" i="1"/>
  <c r="P28" i="1" s="1"/>
  <c r="S36" i="1"/>
  <c r="P36" i="1" s="1"/>
  <c r="P20" i="1"/>
  <c r="S32" i="1"/>
  <c r="P32" i="1" s="1"/>
  <c r="S24" i="1"/>
  <c r="P24" i="1" s="1"/>
  <c r="P16" i="1"/>
  <c r="S21" i="1"/>
  <c r="S29" i="1" s="1"/>
  <c r="B3" i="9" l="1"/>
  <c r="K43" i="6"/>
  <c r="K44" i="6" s="1"/>
  <c r="K40" i="6"/>
  <c r="G31" i="6"/>
  <c r="G30" i="6"/>
  <c r="D64" i="1"/>
  <c r="D63" i="1"/>
  <c r="H30" i="6"/>
  <c r="H31" i="6"/>
  <c r="L31" i="6"/>
  <c r="L30" i="6"/>
  <c r="E73" i="1"/>
  <c r="E74" i="1"/>
  <c r="B74" i="1"/>
  <c r="B73" i="1"/>
  <c r="E64" i="1"/>
  <c r="E63" i="1"/>
  <c r="F74" i="1"/>
  <c r="F73" i="1"/>
  <c r="I40" i="6"/>
  <c r="I43" i="6"/>
  <c r="I44" i="6" s="1"/>
  <c r="S37" i="1"/>
  <c r="P34" i="1"/>
  <c r="J31" i="6"/>
  <c r="J30" i="6"/>
  <c r="H40" i="6"/>
  <c r="H43" i="6"/>
  <c r="H44" i="6" s="1"/>
  <c r="G63" i="1"/>
  <c r="G64" i="1"/>
  <c r="E13" i="4"/>
  <c r="E14" i="4" s="1"/>
  <c r="E15" i="4" s="1"/>
  <c r="E17" i="4" s="1"/>
  <c r="C13" i="4"/>
  <c r="C14" i="4" s="1"/>
  <c r="C15" i="4" s="1"/>
  <c r="C17" i="4" s="1"/>
  <c r="D13" i="4"/>
  <c r="D14" i="4" s="1"/>
  <c r="D15" i="4" s="1"/>
  <c r="D17" i="4" s="1"/>
  <c r="B13" i="4"/>
  <c r="B14" i="4" s="1"/>
  <c r="B15" i="4" s="1"/>
  <c r="B17" i="4" s="1"/>
  <c r="D74" i="1"/>
  <c r="D73" i="1"/>
  <c r="G43" i="6"/>
  <c r="G44" i="6" s="1"/>
  <c r="G40" i="6"/>
  <c r="C74" i="1"/>
  <c r="C73" i="1"/>
  <c r="J40" i="6"/>
  <c r="J43" i="6"/>
  <c r="J44" i="6" s="1"/>
  <c r="K31" i="6"/>
  <c r="K30" i="6"/>
  <c r="F64" i="1"/>
  <c r="F63" i="1"/>
  <c r="C64" i="1"/>
  <c r="C63" i="1"/>
  <c r="I30" i="6"/>
  <c r="I31" i="6"/>
  <c r="G73" i="1"/>
  <c r="G74" i="1"/>
  <c r="L40" i="6"/>
  <c r="L43" i="6"/>
  <c r="L44" i="6" s="1"/>
  <c r="L46" i="6" l="1"/>
  <c r="L45" i="6"/>
  <c r="L51" i="6" s="1"/>
  <c r="L50" i="6"/>
  <c r="J46" i="6"/>
  <c r="J50" i="6"/>
  <c r="J52" i="6" s="1"/>
  <c r="J45" i="6"/>
  <c r="J51" i="6" s="1"/>
  <c r="I50" i="6"/>
  <c r="I52" i="6" s="1"/>
  <c r="I46" i="6"/>
  <c r="I45" i="6"/>
  <c r="I51" i="6" s="1"/>
  <c r="G50" i="6"/>
  <c r="G52" i="6" s="1"/>
  <c r="G45" i="6"/>
  <c r="G51" i="6" s="1"/>
  <c r="G46" i="6"/>
  <c r="H50" i="6"/>
  <c r="H52" i="6" s="1"/>
  <c r="H46" i="6"/>
  <c r="H45" i="6"/>
  <c r="H51" i="6" s="1"/>
  <c r="K46" i="6"/>
  <c r="K50" i="6"/>
  <c r="K52" i="6" s="1"/>
  <c r="K45" i="6"/>
  <c r="K51" i="6" s="1"/>
</calcChain>
</file>

<file path=xl/comments1.xml><?xml version="1.0" encoding="utf-8"?>
<comments xmlns="http://schemas.openxmlformats.org/spreadsheetml/2006/main">
  <authors>
    <author>Iñigo Dueñas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Iñigo Dueñas:</t>
        </r>
        <r>
          <rPr>
            <sz val="9"/>
            <color indexed="81"/>
            <rFont val="Tahoma"/>
            <family val="2"/>
          </rPr>
          <t xml:space="preserve">
Proyección vertical</t>
        </r>
      </text>
    </comment>
  </commentList>
</comments>
</file>

<file path=xl/connections.xml><?xml version="1.0" encoding="utf-8"?>
<connections xmlns="http://schemas.openxmlformats.org/spreadsheetml/2006/main">
  <connection id="1" name="PVdata425937N_030036W_1kW_33deg_-75deg_14 (1)" type="6" refreshedVersion="4" background="1" saveData="1">
    <textPr sourceFile="C:\Users\Iñigo\Downloads\PVdata425937N_030036W_1kW_33deg_-75deg_14 (1).txt" decimal="," thousands=".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<sst xmlns="http://schemas.openxmlformats.org/spreadsheetml/2006/main" count="459" uniqueCount="290">
  <si>
    <t>PARAMETROS</t>
  </si>
  <si>
    <t>Beta (inclinación)</t>
  </si>
  <si>
    <t>Alfa</t>
  </si>
  <si>
    <t>˚</t>
  </si>
  <si>
    <t>Shadowing</t>
  </si>
  <si>
    <t>MS (margn seguridad)</t>
  </si>
  <si>
    <t>Pérdidas:</t>
  </si>
  <si>
    <t>%</t>
  </si>
  <si>
    <t>Kb (baterias)</t>
  </si>
  <si>
    <t>Ka (auto-descarga)</t>
  </si>
  <si>
    <t>Kc (eficiencia inversor)</t>
  </si>
  <si>
    <t>Kr (eficiencia regulador)</t>
  </si>
  <si>
    <t>Kv (varias)</t>
  </si>
  <si>
    <t xml:space="preserve">Rango </t>
  </si>
  <si>
    <t>5-10 (0-20)</t>
  </si>
  <si>
    <t>0,1-2</t>
  </si>
  <si>
    <t>1,0-10</t>
  </si>
  <si>
    <t>0-20</t>
  </si>
  <si>
    <t>CONSUMO</t>
  </si>
  <si>
    <t>Electrodoméstico</t>
  </si>
  <si>
    <t>Horas uso/dia</t>
  </si>
  <si>
    <t>Energía</t>
  </si>
  <si>
    <t>Profundidad de descarga</t>
  </si>
  <si>
    <t>Dias autonomia</t>
  </si>
  <si>
    <t>dias</t>
  </si>
  <si>
    <t>KT</t>
  </si>
  <si>
    <t>Cantidad</t>
  </si>
  <si>
    <t>Potencia(W)</t>
  </si>
  <si>
    <t>Wh</t>
  </si>
  <si>
    <t>Batidora</t>
  </si>
  <si>
    <t>Lavadora</t>
  </si>
  <si>
    <t>Frigorífico</t>
  </si>
  <si>
    <t>Congelador</t>
  </si>
  <si>
    <t>Extractor de humo</t>
  </si>
  <si>
    <t>Video grabador</t>
  </si>
  <si>
    <t>Iluminación salón</t>
  </si>
  <si>
    <t>Iluminación cocina</t>
  </si>
  <si>
    <t>Ilumin. Dormitorios</t>
  </si>
  <si>
    <t>Ilumin. Exterior</t>
  </si>
  <si>
    <t>Iluminación baños</t>
  </si>
  <si>
    <t>Iluminación pasillo</t>
  </si>
  <si>
    <t>Vitrocerámica</t>
  </si>
  <si>
    <t>Ordenador</t>
  </si>
  <si>
    <t>Cargador móvil</t>
  </si>
  <si>
    <t>Total:</t>
  </si>
  <si>
    <t>Nusuario</t>
  </si>
  <si>
    <t>Energía máxima a satisfacer:</t>
  </si>
  <si>
    <t>Cmax</t>
  </si>
  <si>
    <t>Orduña</t>
  </si>
  <si>
    <t>Latitud</t>
  </si>
  <si>
    <t>Longitud</t>
  </si>
  <si>
    <t>RADIACIÓN</t>
  </si>
  <si>
    <t>Mes</t>
  </si>
  <si>
    <t>Hh</t>
  </si>
  <si>
    <t>Hbetaopt</t>
  </si>
  <si>
    <t>Beta optima</t>
  </si>
  <si>
    <t>H(33˚)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</si>
  <si>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</si>
  <si>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</si>
  <si>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</si>
  <si>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</si>
  <si>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</si>
  <si>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</si>
  <si>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</si>
  <si>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</si>
  <si>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</si>
  <si>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</si>
  <si>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</si>
  <si>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</si>
  <si>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*H [Wh/m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/dia]</t>
    </r>
  </si>
  <si>
    <t>DIMENSIONADO DEL CAMPO DE CAPTACIÓN</t>
  </si>
  <si>
    <t>Tecnología</t>
  </si>
  <si>
    <t>Potencia de pico (Wp)</t>
  </si>
  <si>
    <t>Estructura del campo</t>
  </si>
  <si>
    <t>Tensión de func. (Vdc)</t>
  </si>
  <si>
    <t>file:///C:/Users/I%C3%B1igo/Downloads/DATASHEET_SUNPRIMO_PM060PW1_EN.pdf</t>
  </si>
  <si>
    <t>Viesgo</t>
  </si>
  <si>
    <t>Dimensiones (mm)</t>
  </si>
  <si>
    <t>1640x992x40</t>
  </si>
  <si>
    <t>1195x545x35</t>
  </si>
  <si>
    <t>https://autosolar.es/panel-solar-12-voltios/panel-solar-victron-80w-12v-monocristalino</t>
  </si>
  <si>
    <r>
      <t>Precio estimado (</t>
    </r>
    <r>
      <rPr>
        <sz val="11"/>
        <color theme="1"/>
        <rFont val="Calibri"/>
        <family val="2"/>
      </rPr>
      <t>€)</t>
    </r>
  </si>
  <si>
    <t>1476x659x35</t>
  </si>
  <si>
    <t>https://autosolar.es/panel-solar-12-voltios/panel-solar-150w-12v-policristalino-atersa</t>
  </si>
  <si>
    <t>1490x880x42</t>
  </si>
  <si>
    <t>Area (m2)</t>
  </si>
  <si>
    <t>1490x990x42</t>
  </si>
  <si>
    <t>https://autosolar.es/panel-solar-24-voltios/panel-solar-200w-24v-waaree-policristalino</t>
  </si>
  <si>
    <t>https://autosolar.es/panel-solar-12-voltios/panel-solar-200w-12v-waaree-policristalino</t>
  </si>
  <si>
    <t>https://autosolar.es/panel-solar-24-voltios/panel-solar-320w-24v-waaree-policristalino</t>
  </si>
  <si>
    <t>1960x990x42</t>
  </si>
  <si>
    <t>HPS(h)</t>
  </si>
  <si>
    <t xml:space="preserve"> Rdto_panel </t>
  </si>
  <si>
    <t>Producción/jornada(Wh/día)</t>
  </si>
  <si>
    <t>Autosolar</t>
  </si>
  <si>
    <t>Qpanel (Ah/día)</t>
  </si>
  <si>
    <t>P fotov. Necesaria</t>
  </si>
  <si>
    <t>W</t>
  </si>
  <si>
    <t>N paneles</t>
  </si>
  <si>
    <t>??</t>
  </si>
  <si>
    <t>Area total (m2)</t>
  </si>
  <si>
    <t>Precio total (€)</t>
  </si>
  <si>
    <t>DIMENSIONAMIENTO DEL SISTEMA DE ACUMULACIÓN</t>
  </si>
  <si>
    <t>Dautonomía</t>
  </si>
  <si>
    <t xml:space="preserve">Prof.Descarga </t>
  </si>
  <si>
    <t>Tipos:</t>
  </si>
  <si>
    <t>RT (coef. Red. Temperat.)</t>
  </si>
  <si>
    <t>Cbateria (Ah)</t>
  </si>
  <si>
    <t>N baterias</t>
  </si>
  <si>
    <t>Csist_acum (Ah)</t>
  </si>
  <si>
    <t>https://autosolar.es/baterias-gel-12v/bateria-gel-60ah-12v-sonnenschein-s12-60</t>
  </si>
  <si>
    <t>Tensión (V)</t>
  </si>
  <si>
    <r>
      <t>Precio (</t>
    </r>
    <r>
      <rPr>
        <sz val="11"/>
        <color theme="1"/>
        <rFont val="Calibri"/>
        <family val="2"/>
      </rPr>
      <t>€</t>
    </r>
    <r>
      <rPr>
        <sz val="9.9"/>
        <color theme="1"/>
        <rFont val="Calibri"/>
        <family val="2"/>
      </rPr>
      <t>)</t>
    </r>
  </si>
  <si>
    <t>https://autosolar.es/baterias-agm-12v/bateria-agm-12v-86ah-ultracell-uc-86-12</t>
  </si>
  <si>
    <t>https://autosolar.es/baterias-agm-12v/bateria-agm-12v-115ah-ultracell-uc-115-12</t>
  </si>
  <si>
    <t>https://autosolar.es/baterias-agm-12v/bateria-250ah-agm-12v-tfs-upower</t>
  </si>
  <si>
    <t>Sonnenschein</t>
  </si>
  <si>
    <t>Ultracell</t>
  </si>
  <si>
    <t>U-power</t>
  </si>
  <si>
    <t>Policristalino</t>
  </si>
  <si>
    <t>Monocristalino</t>
  </si>
  <si>
    <t>Cmax(Ah)12V</t>
  </si>
  <si>
    <t>Cmax (Ah)24V</t>
  </si>
  <si>
    <t>Cútil (Ah)12V</t>
  </si>
  <si>
    <t>Cútil (Ah)24V</t>
  </si>
  <si>
    <t>Coef. Temp. Pn (%/K)</t>
  </si>
  <si>
    <t>I (pmax)   (A)</t>
  </si>
  <si>
    <t>Icc            (A)</t>
  </si>
  <si>
    <t>Voc           (V)</t>
  </si>
  <si>
    <t>V(pmax)   (V)</t>
  </si>
  <si>
    <t>Nramas paralelo</t>
  </si>
  <si>
    <t>Qpanel (metodo 2)</t>
  </si>
  <si>
    <t>Precio total (met.2)</t>
  </si>
  <si>
    <t>*Qpanel=HPS*I(Pmax)*Rdto_panel??</t>
  </si>
  <si>
    <t>Area total (met.2)</t>
  </si>
  <si>
    <t xml:space="preserve">SunPrimo PM060PW1 </t>
  </si>
  <si>
    <t xml:space="preserve">AUO SunPrimo PM060PW1 </t>
  </si>
  <si>
    <t>Material</t>
  </si>
  <si>
    <t>Nombre</t>
  </si>
  <si>
    <t>Panel 1</t>
  </si>
  <si>
    <t>Panel 2</t>
  </si>
  <si>
    <t>Panel 3</t>
  </si>
  <si>
    <t>Panel 4</t>
  </si>
  <si>
    <t>Panel 5</t>
  </si>
  <si>
    <t>Panel 6</t>
  </si>
  <si>
    <t>Bateria 1</t>
  </si>
  <si>
    <t>Bateria 2</t>
  </si>
  <si>
    <t>Bateria 3</t>
  </si>
  <si>
    <t>Bateria 4</t>
  </si>
  <si>
    <t>Paneles</t>
  </si>
  <si>
    <t>Baterias</t>
  </si>
  <si>
    <t>Coste</t>
  </si>
  <si>
    <t>Precio unitario</t>
  </si>
  <si>
    <t>Precio total</t>
  </si>
  <si>
    <t>estos no</t>
  </si>
  <si>
    <t>A/panel</t>
  </si>
  <si>
    <t>A total</t>
  </si>
  <si>
    <t>*A partir de 25ºC</t>
  </si>
  <si>
    <t>Cara noroeste</t>
  </si>
  <si>
    <t>Cara sudeste</t>
  </si>
  <si>
    <t xml:space="preserve">https://www.mapsdirections.info/ </t>
  </si>
  <si>
    <t>15º</t>
  </si>
  <si>
    <t>90-15</t>
  </si>
  <si>
    <r>
      <t>Orientación(</t>
    </r>
    <r>
      <rPr>
        <sz val="11"/>
        <color theme="1"/>
        <rFont val="Calibri"/>
        <family val="2"/>
      </rPr>
      <t>α)</t>
    </r>
  </si>
  <si>
    <t>(Azimuth angle from -180 to 180. East=-90, South=0)</t>
  </si>
  <si>
    <t>α=105 (NO)</t>
  </si>
  <si>
    <t>α=-75(SE)</t>
  </si>
  <si>
    <r>
      <t>RADIACIÓN (Wh/m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/dia)</t>
    </r>
  </si>
  <si>
    <t>Orientación SE</t>
  </si>
  <si>
    <t>Pfotov necesaria</t>
  </si>
  <si>
    <t>h</t>
  </si>
  <si>
    <t>Panel</t>
  </si>
  <si>
    <t>Rdto_panel</t>
  </si>
  <si>
    <t>*Suponiendo que puedo utilizar 80% del tejado</t>
  </si>
  <si>
    <t>A disponible</t>
  </si>
  <si>
    <t>Paneles posibles</t>
  </si>
  <si>
    <t>Energia producida en SE (Wh)</t>
  </si>
  <si>
    <t>Energía por producir en NO (Wh)</t>
  </si>
  <si>
    <t>Orientación NO</t>
  </si>
  <si>
    <t>Pfotov necesaria (W)</t>
  </si>
  <si>
    <t>m2</t>
  </si>
  <si>
    <t>TOTAL</t>
  </si>
  <si>
    <t>Precio (€)</t>
  </si>
  <si>
    <t>H(20˚)</t>
  </si>
  <si>
    <t>Ajuste para PVsyst</t>
  </si>
  <si>
    <t>Iluminación</t>
  </si>
  <si>
    <t>TV + Ordenador</t>
  </si>
  <si>
    <t>Frigorifico+congelador</t>
  </si>
  <si>
    <t>Electr. Potentes</t>
  </si>
  <si>
    <t>Electr. Menores</t>
  </si>
  <si>
    <t>Total</t>
  </si>
  <si>
    <t>%SE respecto al total</t>
  </si>
  <si>
    <t>SE (90%)</t>
  </si>
  <si>
    <t>NO(10%)</t>
  </si>
  <si>
    <r>
      <t>α=105</t>
    </r>
    <r>
      <rPr>
        <sz val="11"/>
        <rFont val="Calibri"/>
        <family val="2"/>
      </rPr>
      <t>°</t>
    </r>
  </si>
  <si>
    <r>
      <t>α</t>
    </r>
    <r>
      <rPr>
        <sz val="9.9"/>
        <rFont val="Calibri"/>
        <family val="2"/>
      </rPr>
      <t>=-75°</t>
    </r>
  </si>
  <si>
    <t>PREDIMENSIONADO IDEAL</t>
  </si>
  <si>
    <t>CASA HUERTA</t>
  </si>
  <si>
    <t>Concepto</t>
  </si>
  <si>
    <t>Precio</t>
  </si>
  <si>
    <r>
      <t>Presupuesto de ejecución de material (800</t>
    </r>
    <r>
      <rPr>
        <sz val="11"/>
        <color theme="1"/>
        <rFont val="Calibri"/>
        <family val="2"/>
      </rPr>
      <t>€/m2)</t>
    </r>
  </si>
  <si>
    <t>Presupuesto constructor (+19%)</t>
  </si>
  <si>
    <t>Subtotal con IVA (10%)</t>
  </si>
  <si>
    <t>https://www.cronoshare.com/blog/cuanto-cuesta-construir-una-casa-precios/</t>
  </si>
  <si>
    <t>Proyecto básico y de ejecución (honorarios arquitecto:4%)</t>
  </si>
  <si>
    <t>Dirección de obra (honorarios arquitecto/aparejador: 2%)</t>
  </si>
  <si>
    <t>Subtotal con IVA (21%)</t>
  </si>
  <si>
    <t>Tasa por licencia urbanística (1,5%)</t>
  </si>
  <si>
    <t>Impuesto sobre construciones, instalaciones y obras (4%)</t>
  </si>
  <si>
    <t>Alta de suministros (200 e cada uno: agua y telecomunicaciones)</t>
  </si>
  <si>
    <t>Agotar baterías</t>
  </si>
  <si>
    <t>Granizo-Daño</t>
  </si>
  <si>
    <t>Sobrecalentamiento</t>
  </si>
  <si>
    <t>Subida Precios</t>
  </si>
  <si>
    <t>A</t>
  </si>
  <si>
    <t>B</t>
  </si>
  <si>
    <t>C</t>
  </si>
  <si>
    <t>D</t>
  </si>
  <si>
    <t>IMPACTO</t>
  </si>
  <si>
    <t>PROBABILIDAD</t>
  </si>
  <si>
    <t>Muy bajo         (0,1)</t>
  </si>
  <si>
    <t>Bajo                   (0,2)</t>
  </si>
  <si>
    <t>Moderado         (0,4)</t>
  </si>
  <si>
    <t>Alto                  (0,6)</t>
  </si>
  <si>
    <t>Muy Alto          (0,9)</t>
  </si>
  <si>
    <t>Raramente      (0,1)</t>
  </si>
  <si>
    <t>Difícilmente      (0,3)</t>
  </si>
  <si>
    <t>Casi Seguro        (0,9)</t>
  </si>
  <si>
    <t>Posible              (0,5)</t>
  </si>
  <si>
    <t>Probable         (0,7)</t>
  </si>
  <si>
    <t>E</t>
  </si>
  <si>
    <t>Nevada</t>
  </si>
  <si>
    <t>F</t>
  </si>
  <si>
    <t>Fallo eléctrico</t>
  </si>
  <si>
    <t>Estudios del terreno: Topográfico + Geotécnico *</t>
  </si>
  <si>
    <t>*Probablemente haya que hacerlo, aunque podría ser que ya estuviera hecho de cuando se construyó la antigua casa</t>
  </si>
  <si>
    <t>Selección del inversor:</t>
  </si>
  <si>
    <t>Potencia pico total:</t>
  </si>
  <si>
    <t>(En PVsyst)</t>
  </si>
  <si>
    <t>Selección regulador</t>
  </si>
  <si>
    <t>Tensión</t>
  </si>
  <si>
    <t>Corriente de entrada</t>
  </si>
  <si>
    <t>24V</t>
  </si>
  <si>
    <t>1,25*Impp</t>
  </si>
  <si>
    <t>https://www.monsolar.com/inversor-autoconsumo-ingecon-sun-storage-1play-3tl-3kw-sin-transformador.html</t>
  </si>
  <si>
    <t>Inversor + Regulador</t>
  </si>
  <si>
    <t>Regulador</t>
  </si>
  <si>
    <t>Inversor</t>
  </si>
  <si>
    <t>6*2440</t>
  </si>
  <si>
    <t>????</t>
  </si>
  <si>
    <t>http://www.cetronic.es/sqlcommerce/disenos/plantilla1/seccion/producto/DetalleProducto.jsp?idIdioma=&amp;idTienda=93&amp;codProducto=999441057&amp;cPath=898</t>
  </si>
  <si>
    <t>3*196 eu</t>
  </si>
  <si>
    <t>https://autosolar.es/inversores-cargadores-48v/inversor-cargador-5000va-48v-mppt-80a-must-solar?gclid=Cj0KCQjwvLLZBRDrARIsADU6ojAdG8zEBF0uGHA1EItzvWGjq4lTYca-7wLaOVE7q7rIh1dc4Kn1WOsaAtlREALw_wcB</t>
  </si>
  <si>
    <t>2*706 eu</t>
  </si>
  <si>
    <t>*Nueva disposición</t>
  </si>
  <si>
    <t>A         *</t>
  </si>
  <si>
    <t>Cableado</t>
  </si>
  <si>
    <r>
      <t>U=V*</t>
    </r>
    <r>
      <rPr>
        <sz val="11"/>
        <color theme="1"/>
        <rFont val="Calibri"/>
        <family val="2"/>
      </rPr>
      <t>ΔU</t>
    </r>
  </si>
  <si>
    <t>V=48V</t>
  </si>
  <si>
    <t>I=117.5/2=59A</t>
  </si>
  <si>
    <t>L=8m</t>
  </si>
  <si>
    <t>k=56m/Ω·mm2</t>
  </si>
  <si>
    <t>U=</t>
  </si>
  <si>
    <t>S=</t>
  </si>
  <si>
    <t>mm2</t>
  </si>
  <si>
    <t>Valor normalizado:</t>
  </si>
  <si>
    <t xml:space="preserve">L total necesaria: </t>
  </si>
  <si>
    <t>m</t>
  </si>
  <si>
    <t>http://www.portalelectricidad.es/cable-unipolar-16mm2-libre-halogenos.html</t>
  </si>
  <si>
    <t>1,63 eu/m</t>
  </si>
  <si>
    <t>eu</t>
  </si>
  <si>
    <t>Soportes</t>
  </si>
  <si>
    <t>https://autosolar.es/estructuras-cubierta-teja/estructura-cubierta-tejas-20-ud-kht915</t>
  </si>
  <si>
    <t>Costes</t>
  </si>
  <si>
    <t>Baterías</t>
  </si>
  <si>
    <t>Inversor-Regulador</t>
  </si>
  <si>
    <t>205 eu (6 ud)</t>
  </si>
  <si>
    <t>(4 módulos x u)</t>
  </si>
  <si>
    <t>Conectados a red:</t>
  </si>
  <si>
    <t>Aislados:</t>
  </si>
  <si>
    <t>Gastos término de potencia (euros/año)</t>
  </si>
  <si>
    <t>Gastos por energía consumida (euros/año)</t>
  </si>
  <si>
    <t>Amortización de la inversión( años)</t>
  </si>
  <si>
    <t>Ahorro anual (TV  de 25)</t>
  </si>
  <si>
    <t xml:space="preserve">Televisores </t>
  </si>
  <si>
    <t>4,6kW</t>
  </si>
  <si>
    <t>Años</t>
  </si>
  <si>
    <t>Gastos</t>
  </si>
  <si>
    <t>Ahorro</t>
  </si>
  <si>
    <t>Rentabilidad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</si>
</sst>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0.000"/>
    <numFmt numFmtId="165" formatCode="#,##0.00\ &quot;€&quot;"/>
    <numFmt numFmtId="166" formatCode="_-[$€-2]\ * #,##0.00_-;\-[$€-2]\ * #,##0.00_-;_-[$€-2]\ 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.9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.9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8A8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rgb="FF92D050"/>
      </left>
      <right/>
      <top style="mediumDashed">
        <color rgb="FF92D050"/>
      </top>
      <bottom/>
      <diagonal/>
    </border>
    <border>
      <left/>
      <right/>
      <top style="mediumDashed">
        <color rgb="FF92D050"/>
      </top>
      <bottom/>
      <diagonal/>
    </border>
    <border>
      <left/>
      <right style="mediumDashed">
        <color rgb="FF92D050"/>
      </right>
      <top style="mediumDashed">
        <color rgb="FF92D050"/>
      </top>
      <bottom/>
      <diagonal/>
    </border>
    <border>
      <left style="mediumDashed">
        <color rgb="FF92D050"/>
      </left>
      <right/>
      <top/>
      <bottom/>
      <diagonal/>
    </border>
    <border>
      <left/>
      <right style="mediumDashed">
        <color rgb="FF92D050"/>
      </right>
      <top/>
      <bottom/>
      <diagonal/>
    </border>
    <border>
      <left style="mediumDashed">
        <color rgb="FF92D050"/>
      </left>
      <right/>
      <top/>
      <bottom style="mediumDashed">
        <color rgb="FF92D050"/>
      </bottom>
      <diagonal/>
    </border>
    <border>
      <left/>
      <right/>
      <top/>
      <bottom style="mediumDashed">
        <color rgb="FF92D050"/>
      </bottom>
      <diagonal/>
    </border>
    <border>
      <left/>
      <right style="mediumDashed">
        <color rgb="FF92D050"/>
      </right>
      <top/>
      <bottom style="mediumDashed">
        <color rgb="FF92D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0" applyNumberFormat="0" applyBorder="0" applyAlignment="0" applyProtection="0"/>
    <xf numFmtId="0" fontId="18" fillId="29" borderId="0" applyNumberFormat="0" applyBorder="0" applyAlignment="0" applyProtection="0"/>
  </cellStyleXfs>
  <cellXfs count="204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/>
    <xf numFmtId="16" fontId="3" fillId="0" borderId="0" xfId="0" applyNumberFormat="1" applyFont="1"/>
    <xf numFmtId="0" fontId="0" fillId="0" borderId="0" xfId="0" applyAlignment="1">
      <alignment horizontal="left"/>
    </xf>
    <xf numFmtId="0" fontId="0" fillId="3" borderId="1" xfId="0" applyFill="1" applyBorder="1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0" fillId="0" borderId="0" xfId="0" applyFill="1" applyBorder="1"/>
    <xf numFmtId="0" fontId="0" fillId="4" borderId="0" xfId="0" applyFill="1"/>
    <xf numFmtId="0" fontId="0" fillId="5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164" fontId="0" fillId="0" borderId="0" xfId="0" applyNumberFormat="1"/>
    <xf numFmtId="0" fontId="1" fillId="8" borderId="0" xfId="0" applyFont="1" applyFill="1"/>
    <xf numFmtId="0" fontId="0" fillId="9" borderId="0" xfId="0" applyFill="1"/>
    <xf numFmtId="0" fontId="1" fillId="9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" fillId="3" borderId="0" xfId="0" applyNumberFormat="1" applyFont="1" applyFill="1"/>
    <xf numFmtId="0" fontId="11" fillId="0" borderId="0" xfId="1"/>
    <xf numFmtId="0" fontId="5" fillId="0" borderId="0" xfId="0" applyFont="1" applyFill="1"/>
    <xf numFmtId="0" fontId="0" fillId="12" borderId="0" xfId="0" applyFill="1"/>
    <xf numFmtId="0" fontId="0" fillId="7" borderId="2" xfId="0" applyFill="1" applyBorder="1"/>
    <xf numFmtId="0" fontId="0" fillId="0" borderId="2" xfId="0" applyFill="1" applyBorder="1"/>
    <xf numFmtId="0" fontId="0" fillId="12" borderId="2" xfId="0" applyFill="1" applyBorder="1"/>
    <xf numFmtId="0" fontId="0" fillId="0" borderId="2" xfId="0" applyBorder="1"/>
    <xf numFmtId="0" fontId="12" fillId="0" borderId="0" xfId="0" applyFont="1"/>
    <xf numFmtId="2" fontId="5" fillId="0" borderId="0" xfId="0" applyNumberFormat="1" applyFont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11" borderId="6" xfId="0" applyFill="1" applyBorder="1" applyAlignment="1">
      <alignment horizontal="center" vertical="center"/>
    </xf>
    <xf numFmtId="0" fontId="0" fillId="11" borderId="9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5" xfId="0" applyFill="1" applyBorder="1"/>
    <xf numFmtId="0" fontId="0" fillId="16" borderId="11" xfId="0" applyFill="1" applyBorder="1"/>
    <xf numFmtId="0" fontId="0" fillId="16" borderId="12" xfId="0" applyFill="1" applyBorder="1"/>
    <xf numFmtId="0" fontId="0" fillId="10" borderId="6" xfId="0" applyFill="1" applyBorder="1"/>
    <xf numFmtId="0" fontId="0" fillId="10" borderId="8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165" fontId="0" fillId="14" borderId="11" xfId="0" applyNumberFormat="1" applyFill="1" applyBorder="1"/>
    <xf numFmtId="165" fontId="0" fillId="14" borderId="12" xfId="0" applyNumberFormat="1" applyFill="1" applyBorder="1"/>
    <xf numFmtId="165" fontId="0" fillId="0" borderId="8" xfId="0" applyNumberFormat="1" applyBorder="1"/>
    <xf numFmtId="165" fontId="0" fillId="14" borderId="2" xfId="0" applyNumberFormat="1" applyFill="1" applyBorder="1"/>
    <xf numFmtId="165" fontId="0" fillId="0" borderId="6" xfId="0" applyNumberFormat="1" applyBorder="1"/>
    <xf numFmtId="0" fontId="0" fillId="5" borderId="2" xfId="0" applyFill="1" applyBorder="1"/>
    <xf numFmtId="0" fontId="12" fillId="5" borderId="0" xfId="0" applyFont="1" applyFill="1"/>
    <xf numFmtId="0" fontId="7" fillId="5" borderId="0" xfId="0" applyFont="1" applyFill="1"/>
    <xf numFmtId="0" fontId="0" fillId="0" borderId="14" xfId="0" applyBorder="1"/>
    <xf numFmtId="0" fontId="0" fillId="12" borderId="11" xfId="0" applyFill="1" applyBorder="1"/>
    <xf numFmtId="0" fontId="0" fillId="12" borderId="12" xfId="0" applyFill="1" applyBorder="1"/>
    <xf numFmtId="0" fontId="0" fillId="7" borderId="8" xfId="0" applyFill="1" applyBorder="1"/>
    <xf numFmtId="0" fontId="0" fillId="7" borderId="6" xfId="0" applyFill="1" applyBorder="1"/>
    <xf numFmtId="0" fontId="17" fillId="0" borderId="0" xfId="0" applyFont="1"/>
    <xf numFmtId="0" fontId="0" fillId="7" borderId="11" xfId="0" applyFill="1" applyBorder="1"/>
    <xf numFmtId="0" fontId="9" fillId="0" borderId="0" xfId="0" applyFont="1" applyBorder="1"/>
    <xf numFmtId="0" fontId="9" fillId="0" borderId="2" xfId="0" applyFont="1" applyBorder="1"/>
    <xf numFmtId="0" fontId="0" fillId="0" borderId="11" xfId="0" applyFill="1" applyBorder="1"/>
    <xf numFmtId="164" fontId="0" fillId="0" borderId="2" xfId="0" applyNumberFormat="1" applyBorder="1"/>
    <xf numFmtId="165" fontId="8" fillId="0" borderId="0" xfId="0" applyNumberFormat="1" applyFont="1" applyBorder="1"/>
    <xf numFmtId="165" fontId="0" fillId="0" borderId="0" xfId="0" applyNumberFormat="1" applyBorder="1"/>
    <xf numFmtId="165" fontId="0" fillId="0" borderId="2" xfId="0" applyNumberFormat="1" applyBorder="1"/>
    <xf numFmtId="0" fontId="1" fillId="0" borderId="0" xfId="0" applyFont="1" applyBorder="1"/>
    <xf numFmtId="0" fontId="1" fillId="0" borderId="2" xfId="0" applyFont="1" applyBorder="1"/>
    <xf numFmtId="165" fontId="0" fillId="0" borderId="1" xfId="0" applyNumberFormat="1" applyBorder="1"/>
    <xf numFmtId="165" fontId="0" fillId="0" borderId="5" xfId="0" applyNumberForma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0" xfId="0" applyNumberFormat="1" applyBorder="1"/>
    <xf numFmtId="2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1" fillId="0" borderId="16" xfId="0" applyNumberFormat="1" applyFont="1" applyBorder="1"/>
    <xf numFmtId="0" fontId="1" fillId="0" borderId="16" xfId="0" applyFont="1" applyBorder="1"/>
    <xf numFmtId="165" fontId="1" fillId="0" borderId="17" xfId="0" applyNumberFormat="1" applyFont="1" applyBorder="1"/>
    <xf numFmtId="165" fontId="1" fillId="0" borderId="18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5" xfId="0" applyFill="1" applyBorder="1"/>
    <xf numFmtId="0" fontId="0" fillId="0" borderId="26" xfId="0" applyBorder="1"/>
    <xf numFmtId="9" fontId="0" fillId="0" borderId="0" xfId="2" applyFont="1"/>
    <xf numFmtId="0" fontId="6" fillId="2" borderId="0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0" xfId="0" applyFont="1" applyBorder="1"/>
    <xf numFmtId="0" fontId="6" fillId="0" borderId="31" xfId="0" applyFont="1" applyBorder="1"/>
    <xf numFmtId="0" fontId="6" fillId="3" borderId="1" xfId="0" applyFont="1" applyFill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19" fillId="0" borderId="30" xfId="0" applyFont="1" applyBorder="1"/>
    <xf numFmtId="0" fontId="0" fillId="3" borderId="4" xfId="0" applyFill="1" applyBorder="1"/>
    <xf numFmtId="0" fontId="0" fillId="16" borderId="10" xfId="0" applyFill="1" applyBorder="1"/>
    <xf numFmtId="165" fontId="0" fillId="14" borderId="10" xfId="0" applyNumberFormat="1" applyFill="1" applyBorder="1"/>
    <xf numFmtId="0" fontId="21" fillId="24" borderId="35" xfId="9" applyFont="1" applyBorder="1" applyAlignment="1">
      <alignment horizontal="center" vertical="center"/>
    </xf>
    <xf numFmtId="0" fontId="21" fillId="27" borderId="49" xfId="12" applyFont="1" applyBorder="1" applyAlignment="1">
      <alignment horizontal="center" vertical="center"/>
    </xf>
    <xf numFmtId="0" fontId="1" fillId="25" borderId="49" xfId="10" applyFont="1" applyBorder="1" applyAlignment="1">
      <alignment horizontal="center" vertical="center"/>
    </xf>
    <xf numFmtId="0" fontId="1" fillId="12" borderId="49" xfId="0" applyFont="1" applyFill="1" applyBorder="1" applyAlignment="1">
      <alignment horizontal="center" vertical="center"/>
    </xf>
    <xf numFmtId="0" fontId="1" fillId="12" borderId="50" xfId="0" applyFont="1" applyFill="1" applyBorder="1" applyAlignment="1">
      <alignment horizontal="center" vertical="center"/>
    </xf>
    <xf numFmtId="0" fontId="21" fillId="27" borderId="51" xfId="12" applyFont="1" applyBorder="1" applyAlignment="1">
      <alignment horizontal="center" vertical="center"/>
    </xf>
    <xf numFmtId="0" fontId="1" fillId="26" borderId="0" xfId="11" applyFont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21" borderId="52" xfId="6" applyFont="1" applyBorder="1" applyAlignment="1">
      <alignment horizontal="center" vertical="center"/>
    </xf>
    <xf numFmtId="0" fontId="1" fillId="26" borderId="51" xfId="11" applyFont="1" applyBorder="1" applyAlignment="1">
      <alignment horizontal="center" vertical="center"/>
    </xf>
    <xf numFmtId="0" fontId="1" fillId="25" borderId="0" xfId="10" applyFont="1" applyBorder="1" applyAlignment="1">
      <alignment horizontal="center" vertical="center"/>
    </xf>
    <xf numFmtId="0" fontId="1" fillId="21" borderId="0" xfId="6" applyFont="1" applyBorder="1" applyAlignment="1">
      <alignment horizontal="center" vertical="center"/>
    </xf>
    <xf numFmtId="0" fontId="1" fillId="22" borderId="52" xfId="7" applyFont="1" applyBorder="1" applyAlignment="1">
      <alignment horizontal="center" vertical="center"/>
    </xf>
    <xf numFmtId="0" fontId="1" fillId="25" borderId="51" xfId="10" applyFont="1" applyBorder="1" applyAlignment="1">
      <alignment horizontal="center" vertical="center"/>
    </xf>
    <xf numFmtId="0" fontId="1" fillId="22" borderId="0" xfId="7" applyFont="1" applyBorder="1" applyAlignment="1">
      <alignment horizontal="center" vertical="center"/>
    </xf>
    <xf numFmtId="0" fontId="21" fillId="23" borderId="52" xfId="8" applyFont="1" applyBorder="1" applyAlignment="1">
      <alignment horizontal="center" vertical="center"/>
    </xf>
    <xf numFmtId="0" fontId="1" fillId="12" borderId="53" xfId="0" applyFont="1" applyFill="1" applyBorder="1" applyAlignment="1">
      <alignment horizontal="center" vertical="center"/>
    </xf>
    <xf numFmtId="0" fontId="1" fillId="12" borderId="54" xfId="0" applyFont="1" applyFill="1" applyBorder="1" applyAlignment="1">
      <alignment horizontal="center" vertical="center"/>
    </xf>
    <xf numFmtId="0" fontId="1" fillId="21" borderId="54" xfId="6" applyFont="1" applyBorder="1" applyAlignment="1">
      <alignment horizontal="center" vertical="center"/>
    </xf>
    <xf numFmtId="0" fontId="21" fillId="23" borderId="54" xfId="8" applyFont="1" applyBorder="1" applyAlignment="1">
      <alignment horizontal="center" vertical="center"/>
    </xf>
    <xf numFmtId="0" fontId="21" fillId="20" borderId="55" xfId="5" applyFont="1" applyBorder="1" applyAlignment="1">
      <alignment horizontal="center" vertical="center"/>
    </xf>
    <xf numFmtId="0" fontId="18" fillId="18" borderId="39" xfId="3" applyBorder="1" applyAlignment="1">
      <alignment horizontal="center" vertical="center" wrapText="1"/>
    </xf>
    <xf numFmtId="0" fontId="18" fillId="18" borderId="40" xfId="3" applyBorder="1" applyAlignment="1">
      <alignment horizontal="center" vertical="center" wrapText="1"/>
    </xf>
    <xf numFmtId="0" fontId="18" fillId="18" borderId="41" xfId="3" applyBorder="1" applyAlignment="1">
      <alignment horizontal="center" vertical="center" wrapText="1"/>
    </xf>
    <xf numFmtId="0" fontId="18" fillId="18" borderId="37" xfId="3" applyBorder="1" applyAlignment="1">
      <alignment horizontal="center" vertical="center" wrapText="1"/>
    </xf>
    <xf numFmtId="0" fontId="18" fillId="18" borderId="42" xfId="3" applyBorder="1" applyAlignment="1">
      <alignment horizontal="center" vertical="center" wrapText="1"/>
    </xf>
    <xf numFmtId="0" fontId="18" fillId="18" borderId="43" xfId="3" applyBorder="1" applyAlignment="1">
      <alignment horizontal="center" vertical="center" wrapText="1"/>
    </xf>
    <xf numFmtId="0" fontId="18" fillId="18" borderId="44" xfId="3" applyBorder="1" applyAlignment="1">
      <alignment horizontal="center" vertical="center" wrapText="1"/>
    </xf>
    <xf numFmtId="0" fontId="18" fillId="18" borderId="45" xfId="3" applyBorder="1" applyAlignment="1">
      <alignment horizontal="center" vertical="center" wrapText="1"/>
    </xf>
    <xf numFmtId="0" fontId="18" fillId="18" borderId="46" xfId="3" applyBorder="1" applyAlignment="1">
      <alignment horizontal="center" vertical="center" wrapText="1"/>
    </xf>
    <xf numFmtId="0" fontId="0" fillId="28" borderId="0" xfId="0" applyFill="1" applyBorder="1"/>
    <xf numFmtId="0" fontId="0" fillId="28" borderId="54" xfId="0" applyFill="1" applyBorder="1"/>
    <xf numFmtId="0" fontId="0" fillId="28" borderId="55" xfId="0" applyFill="1" applyBorder="1"/>
    <xf numFmtId="0" fontId="0" fillId="28" borderId="52" xfId="0" applyFill="1" applyBorder="1"/>
    <xf numFmtId="0" fontId="21" fillId="19" borderId="50" xfId="4" applyFont="1" applyBorder="1" applyAlignment="1">
      <alignment horizontal="center" vertical="center"/>
    </xf>
    <xf numFmtId="0" fontId="0" fillId="0" borderId="56" xfId="0" applyBorder="1"/>
    <xf numFmtId="166" fontId="18" fillId="18" borderId="57" xfId="3" applyNumberFormat="1" applyBorder="1"/>
    <xf numFmtId="166" fontId="1" fillId="18" borderId="57" xfId="3" applyNumberFormat="1" applyFont="1" applyBorder="1"/>
    <xf numFmtId="0" fontId="18" fillId="18" borderId="57" xfId="3" applyBorder="1"/>
    <xf numFmtId="0" fontId="12" fillId="29" borderId="53" xfId="13" applyFont="1" applyBorder="1"/>
    <xf numFmtId="166" fontId="12" fillId="18" borderId="58" xfId="3" applyNumberFormat="1" applyFont="1" applyBorder="1"/>
    <xf numFmtId="0" fontId="21" fillId="19" borderId="39" xfId="4" applyFont="1" applyBorder="1" applyAlignment="1">
      <alignment horizontal="center" vertical="center"/>
    </xf>
    <xf numFmtId="166" fontId="0" fillId="28" borderId="0" xfId="0" applyNumberFormat="1" applyFill="1" applyBorder="1"/>
    <xf numFmtId="0" fontId="11" fillId="12" borderId="0" xfId="1" applyFill="1"/>
    <xf numFmtId="0" fontId="11" fillId="9" borderId="0" xfId="1" applyFill="1"/>
    <xf numFmtId="0" fontId="0" fillId="8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11" borderId="0" xfId="0" applyFill="1" applyAlignment="1">
      <alignment horizont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" fillId="17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15" borderId="10" xfId="0" applyFont="1" applyFill="1" applyBorder="1" applyAlignment="1">
      <alignment horizontal="center" vertical="center"/>
    </xf>
    <xf numFmtId="0" fontId="14" fillId="15" borderId="12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/>
    </xf>
    <xf numFmtId="0" fontId="14" fillId="13" borderId="4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3" fillId="0" borderId="4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5" xfId="0" applyFont="1" applyBorder="1" applyAlignment="1">
      <alignment horizontal="center" vertical="center" textRotation="90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7" fillId="28" borderId="49" xfId="0" applyFont="1" applyFill="1" applyBorder="1" applyAlignment="1">
      <alignment horizontal="left" vertical="top" wrapText="1"/>
    </xf>
    <xf numFmtId="0" fontId="17" fillId="28" borderId="0" xfId="0" applyFont="1" applyFill="1" applyBorder="1" applyAlignment="1">
      <alignment horizontal="left" vertical="top" wrapText="1"/>
    </xf>
    <xf numFmtId="0" fontId="21" fillId="19" borderId="47" xfId="4" applyFont="1" applyBorder="1" applyAlignment="1">
      <alignment horizontal="center"/>
    </xf>
    <xf numFmtId="0" fontId="21" fillId="19" borderId="44" xfId="4" applyFont="1" applyBorder="1" applyAlignment="1">
      <alignment horizontal="center"/>
    </xf>
    <xf numFmtId="0" fontId="21" fillId="19" borderId="48" xfId="4" applyFont="1" applyBorder="1" applyAlignment="1">
      <alignment horizontal="center"/>
    </xf>
    <xf numFmtId="0" fontId="21" fillId="19" borderId="36" xfId="4" applyFont="1" applyBorder="1" applyAlignment="1">
      <alignment horizontal="center" vertical="center" textRotation="90"/>
    </xf>
    <xf numFmtId="0" fontId="21" fillId="19" borderId="37" xfId="4" applyFont="1" applyBorder="1" applyAlignment="1">
      <alignment horizontal="center" vertical="center" textRotation="90"/>
    </xf>
    <xf numFmtId="0" fontId="21" fillId="19" borderId="38" xfId="4" applyFont="1" applyBorder="1" applyAlignment="1">
      <alignment horizontal="center" vertical="center" textRotation="90"/>
    </xf>
    <xf numFmtId="6" fontId="0" fillId="0" borderId="59" xfId="0" applyNumberFormat="1" applyBorder="1" applyAlignment="1">
      <alignment vertical="center" wrapText="1"/>
    </xf>
    <xf numFmtId="6" fontId="0" fillId="0" borderId="38" xfId="0" applyNumberFormat="1" applyBorder="1" applyAlignment="1">
      <alignment vertical="center" wrapText="1"/>
    </xf>
    <xf numFmtId="0" fontId="0" fillId="30" borderId="0" xfId="0" applyFill="1"/>
    <xf numFmtId="0" fontId="0" fillId="31" borderId="0" xfId="0" applyFill="1"/>
    <xf numFmtId="0" fontId="0" fillId="10" borderId="0" xfId="0" applyFill="1"/>
    <xf numFmtId="0" fontId="0" fillId="10" borderId="0" xfId="0" applyFill="1" applyAlignment="1">
      <alignment wrapText="1"/>
    </xf>
  </cellXfs>
  <cellStyles count="14">
    <cellStyle name="20% - Énfasis1" xfId="3" builtinId="30"/>
    <cellStyle name="20% - Énfasis2" xfId="6" builtinId="34"/>
    <cellStyle name="20% - Énfasis3" xfId="10" builtinId="38"/>
    <cellStyle name="40% - Énfasis1" xfId="13" builtinId="31"/>
    <cellStyle name="40% - Énfasis2" xfId="7" builtinId="35"/>
    <cellStyle name="40% - Énfasis3" xfId="11" builtinId="39"/>
    <cellStyle name="60% - Énfasis1" xfId="4" builtinId="32"/>
    <cellStyle name="60% - Énfasis2" xfId="8" builtinId="36"/>
    <cellStyle name="60% - Énfasis3" xfId="12" builtinId="40"/>
    <cellStyle name="Énfasis2" xfId="5" builtinId="33"/>
    <cellStyle name="Énfasis3" xfId="9" builtinId="37"/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EE8A8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Coste de materiales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'Regulador e inversor'!$B$33:$B$37</c:f>
              <c:strCache>
                <c:ptCount val="5"/>
                <c:pt idx="0">
                  <c:v>Paneles</c:v>
                </c:pt>
                <c:pt idx="1">
                  <c:v>Baterías</c:v>
                </c:pt>
                <c:pt idx="2">
                  <c:v>Inversor-Regulador</c:v>
                </c:pt>
                <c:pt idx="3">
                  <c:v>Cableado</c:v>
                </c:pt>
                <c:pt idx="4">
                  <c:v>Soportes</c:v>
                </c:pt>
              </c:strCache>
            </c:strRef>
          </c:cat>
          <c:val>
            <c:numRef>
              <c:f>'Regulador e inversor'!$A$33:$A$37</c:f>
              <c:numCache>
                <c:formatCode>"€"#,##0_);[Red]\("€"#,##0\)</c:formatCode>
                <c:ptCount val="5"/>
                <c:pt idx="0">
                  <c:v>4032</c:v>
                </c:pt>
                <c:pt idx="1">
                  <c:v>4358</c:v>
                </c:pt>
                <c:pt idx="2">
                  <c:v>1412</c:v>
                </c:pt>
                <c:pt idx="3">
                  <c:v>82</c:v>
                </c:pt>
                <c:pt idx="4">
                  <c:v>205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Análisis</a:t>
            </a:r>
            <a:r>
              <a:rPr lang="es-ES" sz="1200" baseline="0"/>
              <a:t> de rentabilidad</a:t>
            </a:r>
            <a:endParaRPr lang="es-E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Gastos</c:v>
          </c:tx>
          <c:invertIfNegative val="0"/>
          <c:val>
            <c:numRef>
              <c:f>Rentabilidad!$H$5:$H$29</c:f>
              <c:numCache>
                <c:formatCode>General</c:formatCode>
                <c:ptCount val="25"/>
                <c:pt idx="0">
                  <c:v>8087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Ahorro</c:v>
          </c:tx>
          <c:invertIfNegative val="0"/>
          <c:val>
            <c:numRef>
              <c:f>Rentabilidad!$I$5:$I$29</c:f>
              <c:numCache>
                <c:formatCode>General</c:formatCode>
                <c:ptCount val="25"/>
                <c:pt idx="0">
                  <c:v>458.2</c:v>
                </c:pt>
                <c:pt idx="1">
                  <c:v>458.2</c:v>
                </c:pt>
                <c:pt idx="2">
                  <c:v>458.2</c:v>
                </c:pt>
                <c:pt idx="3">
                  <c:v>458.2</c:v>
                </c:pt>
                <c:pt idx="4">
                  <c:v>458.2</c:v>
                </c:pt>
                <c:pt idx="5">
                  <c:v>458.2</c:v>
                </c:pt>
                <c:pt idx="6">
                  <c:v>458.2</c:v>
                </c:pt>
                <c:pt idx="7">
                  <c:v>458.2</c:v>
                </c:pt>
                <c:pt idx="8">
                  <c:v>458.2</c:v>
                </c:pt>
                <c:pt idx="9">
                  <c:v>458.2</c:v>
                </c:pt>
                <c:pt idx="10">
                  <c:v>458.2</c:v>
                </c:pt>
                <c:pt idx="11">
                  <c:v>458.2</c:v>
                </c:pt>
                <c:pt idx="12">
                  <c:v>458.2</c:v>
                </c:pt>
                <c:pt idx="13">
                  <c:v>458.2</c:v>
                </c:pt>
                <c:pt idx="14">
                  <c:v>458.2</c:v>
                </c:pt>
                <c:pt idx="15">
                  <c:v>458.2</c:v>
                </c:pt>
                <c:pt idx="16">
                  <c:v>458.2</c:v>
                </c:pt>
                <c:pt idx="17">
                  <c:v>458.2</c:v>
                </c:pt>
                <c:pt idx="18">
                  <c:v>458.2</c:v>
                </c:pt>
                <c:pt idx="19">
                  <c:v>458.2</c:v>
                </c:pt>
                <c:pt idx="20">
                  <c:v>458.2</c:v>
                </c:pt>
                <c:pt idx="21">
                  <c:v>458.2</c:v>
                </c:pt>
                <c:pt idx="22">
                  <c:v>458.2</c:v>
                </c:pt>
                <c:pt idx="23">
                  <c:v>458.2</c:v>
                </c:pt>
                <c:pt idx="24">
                  <c:v>458.2</c:v>
                </c:pt>
              </c:numCache>
            </c:numRef>
          </c:val>
        </c:ser>
        <c:ser>
          <c:idx val="2"/>
          <c:order val="2"/>
          <c:tx>
            <c:v>Rentabilidad</c:v>
          </c:tx>
          <c:invertIfNegative val="0"/>
          <c:val>
            <c:numRef>
              <c:f>Rentabilidad!$J$5:$J$29</c:f>
              <c:numCache>
                <c:formatCode>General</c:formatCode>
                <c:ptCount val="25"/>
                <c:pt idx="0">
                  <c:v>-7628.8</c:v>
                </c:pt>
                <c:pt idx="1">
                  <c:v>-7170.6</c:v>
                </c:pt>
                <c:pt idx="2">
                  <c:v>-6712.4000000000005</c:v>
                </c:pt>
                <c:pt idx="3">
                  <c:v>-6254.2000000000007</c:v>
                </c:pt>
                <c:pt idx="4">
                  <c:v>-5796.0000000000009</c:v>
                </c:pt>
                <c:pt idx="5">
                  <c:v>-5337.8000000000011</c:v>
                </c:pt>
                <c:pt idx="6">
                  <c:v>-4879.6000000000013</c:v>
                </c:pt>
                <c:pt idx="7">
                  <c:v>-4421.4000000000015</c:v>
                </c:pt>
                <c:pt idx="8">
                  <c:v>-3963.2000000000016</c:v>
                </c:pt>
                <c:pt idx="9">
                  <c:v>-3505.0000000000018</c:v>
                </c:pt>
                <c:pt idx="10">
                  <c:v>-3046.800000000002</c:v>
                </c:pt>
                <c:pt idx="11">
                  <c:v>-2588.6000000000022</c:v>
                </c:pt>
                <c:pt idx="12">
                  <c:v>-2130.4000000000024</c:v>
                </c:pt>
                <c:pt idx="13">
                  <c:v>-1672.2000000000023</c:v>
                </c:pt>
                <c:pt idx="14">
                  <c:v>-1214.0000000000023</c:v>
                </c:pt>
                <c:pt idx="15">
                  <c:v>-755.80000000000223</c:v>
                </c:pt>
                <c:pt idx="16">
                  <c:v>-297.60000000000224</c:v>
                </c:pt>
                <c:pt idx="17">
                  <c:v>160.59999999999775</c:v>
                </c:pt>
                <c:pt idx="18">
                  <c:v>618.79999999999768</c:v>
                </c:pt>
                <c:pt idx="19">
                  <c:v>1076.9999999999977</c:v>
                </c:pt>
                <c:pt idx="20">
                  <c:v>1535.1999999999978</c:v>
                </c:pt>
                <c:pt idx="21">
                  <c:v>1993.3999999999978</c:v>
                </c:pt>
                <c:pt idx="22">
                  <c:v>2451.5999999999976</c:v>
                </c:pt>
                <c:pt idx="23">
                  <c:v>2909.7999999999975</c:v>
                </c:pt>
                <c:pt idx="24">
                  <c:v>3367.9999999999973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054464"/>
        <c:axId val="250659968"/>
      </c:barChart>
      <c:catAx>
        <c:axId val="26705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  <a:r>
                  <a:rPr lang="en-US" baseline="0"/>
                  <a:t> de vida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50659968"/>
        <c:crossesAt val="0"/>
        <c:auto val="1"/>
        <c:lblAlgn val="ctr"/>
        <c:lblOffset val="100"/>
        <c:noMultiLvlLbl val="0"/>
      </c:catAx>
      <c:valAx>
        <c:axId val="250659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Euros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7054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95248</xdr:colOff>
      <xdr:row>52</xdr:row>
      <xdr:rowOff>114425</xdr:rowOff>
    </xdr:from>
    <xdr:to>
      <xdr:col>10</xdr:col>
      <xdr:colOff>412750</xdr:colOff>
      <xdr:row>53</xdr:row>
      <xdr:rowOff>179644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36831" y="10052175"/>
          <a:ext cx="2719919" cy="255719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58</xdr:row>
      <xdr:rowOff>95250</xdr:rowOff>
    </xdr:from>
    <xdr:to>
      <xdr:col>9</xdr:col>
      <xdr:colOff>148167</xdr:colOff>
      <xdr:row>60</xdr:row>
      <xdr:rowOff>60980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36833" y="11176000"/>
          <a:ext cx="1693334" cy="346730"/>
        </a:xfrm>
        <a:prstGeom prst="rect">
          <a:avLst/>
        </a:prstGeom>
      </xdr:spPr>
    </xdr:pic>
    <xdr:clientData/>
  </xdr:twoCellAnchor>
  <xdr:twoCellAnchor editAs="oneCell">
    <xdr:from>
      <xdr:col>11</xdr:col>
      <xdr:colOff>10583</xdr:colOff>
      <xdr:row>16</xdr:row>
      <xdr:rowOff>137583</xdr:rowOff>
    </xdr:from>
    <xdr:to>
      <xdr:col>12</xdr:col>
      <xdr:colOff>547531</xdr:colOff>
      <xdr:row>18</xdr:row>
      <xdr:rowOff>169333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16583" y="3185583"/>
          <a:ext cx="1298948" cy="412750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9</xdr:row>
      <xdr:rowOff>31750</xdr:rowOff>
    </xdr:from>
    <xdr:to>
      <xdr:col>8</xdr:col>
      <xdr:colOff>508000</xdr:colOff>
      <xdr:row>10</xdr:row>
      <xdr:rowOff>137860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910666" y="1746250"/>
          <a:ext cx="3100917" cy="29661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44</xdr:row>
      <xdr:rowOff>31750</xdr:rowOff>
    </xdr:from>
    <xdr:to>
      <xdr:col>12</xdr:col>
      <xdr:colOff>714190</xdr:colOff>
      <xdr:row>45</xdr:row>
      <xdr:rowOff>165060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906000" y="8445500"/>
          <a:ext cx="1476190" cy="32381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60</xdr:row>
      <xdr:rowOff>95250</xdr:rowOff>
    </xdr:from>
    <xdr:to>
      <xdr:col>8</xdr:col>
      <xdr:colOff>682587</xdr:colOff>
      <xdr:row>61</xdr:row>
      <xdr:rowOff>148167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836833" y="11557000"/>
          <a:ext cx="1349337" cy="243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74084</xdr:colOff>
      <xdr:row>6</xdr:row>
      <xdr:rowOff>42332</xdr:rowOff>
    </xdr:from>
    <xdr:to>
      <xdr:col>3</xdr:col>
      <xdr:colOff>435894</xdr:colOff>
      <xdr:row>6</xdr:row>
      <xdr:rowOff>185189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7251" y="1185332"/>
          <a:ext cx="1123810" cy="142857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</xdr:colOff>
      <xdr:row>11</xdr:row>
      <xdr:rowOff>74084</xdr:rowOff>
    </xdr:from>
    <xdr:to>
      <xdr:col>8</xdr:col>
      <xdr:colOff>65366</xdr:colOff>
      <xdr:row>13</xdr:row>
      <xdr:rowOff>31751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49750" y="2169584"/>
          <a:ext cx="2340783" cy="338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381002</xdr:colOff>
      <xdr:row>3</xdr:row>
      <xdr:rowOff>180976</xdr:rowOff>
    </xdr:from>
    <xdr:to>
      <xdr:col>3</xdr:col>
      <xdr:colOff>9526</xdr:colOff>
      <xdr:row>10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5402" y="752476"/>
          <a:ext cx="1152524" cy="1152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</xdr:rowOff>
    </xdr:from>
    <xdr:to>
      <xdr:col>1</xdr:col>
      <xdr:colOff>321635</xdr:colOff>
      <xdr:row>10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762001"/>
          <a:ext cx="1236035" cy="114300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4</xdr:row>
      <xdr:rowOff>0</xdr:rowOff>
    </xdr:from>
    <xdr:to>
      <xdr:col>5</xdr:col>
      <xdr:colOff>857251</xdr:colOff>
      <xdr:row>11</xdr:row>
      <xdr:rowOff>72483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00401" y="762000"/>
          <a:ext cx="1695450" cy="1405983"/>
        </a:xfrm>
        <a:prstGeom prst="rect">
          <a:avLst/>
        </a:prstGeom>
      </xdr:spPr>
    </xdr:pic>
    <xdr:clientData/>
  </xdr:twoCellAnchor>
  <xdr:twoCellAnchor editAs="oneCell">
    <xdr:from>
      <xdr:col>5</xdr:col>
      <xdr:colOff>1038225</xdr:colOff>
      <xdr:row>4</xdr:row>
      <xdr:rowOff>1</xdr:rowOff>
    </xdr:from>
    <xdr:to>
      <xdr:col>6</xdr:col>
      <xdr:colOff>760210</xdr:colOff>
      <xdr:row>11</xdr:row>
      <xdr:rowOff>95251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933950" y="762001"/>
          <a:ext cx="1665085" cy="1428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16</xdr:row>
      <xdr:rowOff>66676</xdr:rowOff>
    </xdr:from>
    <xdr:to>
      <xdr:col>2</xdr:col>
      <xdr:colOff>342901</xdr:colOff>
      <xdr:row>18</xdr:row>
      <xdr:rowOff>52276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6" y="3114676"/>
          <a:ext cx="990600" cy="366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461962</xdr:colOff>
      <xdr:row>30</xdr:row>
      <xdr:rowOff>161925</xdr:rowOff>
    </xdr:from>
    <xdr:to>
      <xdr:col>8</xdr:col>
      <xdr:colOff>461962</xdr:colOff>
      <xdr:row>44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2100262</xdr:colOff>
      <xdr:row>12</xdr:row>
      <xdr:rowOff>0</xdr:rowOff>
    </xdr:from>
    <xdr:to>
      <xdr:col>6</xdr:col>
      <xdr:colOff>138112</xdr:colOff>
      <xdr:row>26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Vdata425937N_030036W_1kW_33deg_-75deg_14 (1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autosolar.es/panel-solar-12-voltios/panel-solar-victron-80w-12v-monocristalin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utosolar.es/panel-solar-12-voltios/panel-solar-150w-12v-policristalino-atersa" TargetMode="External"/><Relationship Id="rId1" Type="http://schemas.openxmlformats.org/officeDocument/2006/relationships/hyperlink" Target="../../../AppData/I&#195;&#177;igo/Downloads/DATASHEET_SUNPRIMO_PM060PW1_EN.pdf" TargetMode="External"/><Relationship Id="rId6" Type="http://schemas.openxmlformats.org/officeDocument/2006/relationships/hyperlink" Target="https://autosolar.es/panel-solar-24-voltios/panel-solar-320w-24v-waaree-policristalino" TargetMode="External"/><Relationship Id="rId5" Type="http://schemas.openxmlformats.org/officeDocument/2006/relationships/hyperlink" Target="https://autosolar.es/panel-solar-24-voltios/panel-solar-200w-24v-waaree-policristalino" TargetMode="External"/><Relationship Id="rId4" Type="http://schemas.openxmlformats.org/officeDocument/2006/relationships/hyperlink" Target="https://autosolar.es/panel-solar-12-voltios/panel-solar-200w-12v-waaree-policristali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utosolar.es/baterias-agm-12v/bateria-agm-12v-115ah-ultracell-uc-115-12" TargetMode="External"/><Relationship Id="rId2" Type="http://schemas.openxmlformats.org/officeDocument/2006/relationships/hyperlink" Target="https://autosolar.es/baterias-agm-12v/bateria-agm-12v-86ah-ultracell-uc-86-12" TargetMode="External"/><Relationship Id="rId1" Type="http://schemas.openxmlformats.org/officeDocument/2006/relationships/hyperlink" Target="https://autosolar.es/baterias-gel-12v/bateria-gel-60ah-12v-sonnenschein-s12-60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autosolar.es/baterias-agm-12v/bateria-250ah-agm-12v-tfs-upow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hyperlink" Target="https://www.mapsdirections.info/" TargetMode="External"/><Relationship Id="rId5" Type="http://schemas.openxmlformats.org/officeDocument/2006/relationships/comments" Target="../comments1.xml"/><Relationship Id="rId4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autosolar.es/inversores-cargadores-48v/inversor-cargador-5000va-48v-mppt-80a-must-solar?gclid=Cj0KCQjwvLLZBRDrARIsADU6ojAdG8zEBF0uGHA1EItzvWGjq4lTYca-7wLaOVE7q7rIh1dc4Kn1WOsaAtlREALw_wcB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://www.cetronic.es/sqlcommerce/disenos/plantilla1/seccion/producto/DetalleProducto.jsp?idIdioma=&amp;idTienda=93&amp;codProducto=999441057&amp;cPath=898" TargetMode="External"/><Relationship Id="rId1" Type="http://schemas.openxmlformats.org/officeDocument/2006/relationships/hyperlink" Target="https://www.monsolar.com/inversor-autoconsumo-ingecon-sun-storage-1play-3tl-3kw-sin-transformador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autosolar.es/estructuras-cubierta-teja/estructura-cubierta-tejas-20-ud-kht915" TargetMode="External"/><Relationship Id="rId4" Type="http://schemas.openxmlformats.org/officeDocument/2006/relationships/hyperlink" Target="http://www.portalelectricidad.es/cable-unipolar-16mm2-libre-halogenos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G12" zoomScale="90" zoomScaleNormal="90" workbookViewId="0">
      <selection activeCell="A62" sqref="A62:G64"/>
    </sheetView>
  </sheetViews>
  <sheetFormatPr baseColWidth="10" defaultRowHeight="15" x14ac:dyDescent="0.25"/>
  <cols>
    <col min="1" max="1" width="24.42578125" customWidth="1"/>
    <col min="2" max="2" width="12.7109375" customWidth="1"/>
    <col min="3" max="3" width="13.140625" customWidth="1"/>
    <col min="4" max="7" width="12.7109375" customWidth="1"/>
    <col min="9" max="9" width="13.140625" customWidth="1"/>
    <col min="15" max="15" width="17.7109375" customWidth="1"/>
  </cols>
  <sheetData>
    <row r="1" spans="1:20" x14ac:dyDescent="0.25">
      <c r="A1" s="165" t="s">
        <v>0</v>
      </c>
      <c r="B1" s="165"/>
      <c r="C1" s="165"/>
      <c r="I1" s="3" t="s">
        <v>13</v>
      </c>
      <c r="J1" s="3"/>
      <c r="L1" s="9" t="s">
        <v>48</v>
      </c>
    </row>
    <row r="2" spans="1:20" x14ac:dyDescent="0.25">
      <c r="A2" t="s">
        <v>1</v>
      </c>
      <c r="B2">
        <v>33</v>
      </c>
      <c r="C2" s="1" t="s">
        <v>3</v>
      </c>
      <c r="D2" s="8" t="s">
        <v>6</v>
      </c>
      <c r="E2" s="164" t="s">
        <v>8</v>
      </c>
      <c r="F2" s="164"/>
      <c r="G2">
        <v>7</v>
      </c>
      <c r="H2" t="s">
        <v>7</v>
      </c>
      <c r="I2" s="3" t="s">
        <v>14</v>
      </c>
      <c r="J2" s="3"/>
      <c r="L2" t="s">
        <v>49</v>
      </c>
      <c r="M2" s="2">
        <v>43.011000000000003</v>
      </c>
      <c r="N2" s="1" t="s">
        <v>3</v>
      </c>
    </row>
    <row r="3" spans="1:20" x14ac:dyDescent="0.25">
      <c r="A3" t="s">
        <v>2</v>
      </c>
      <c r="B3">
        <v>0</v>
      </c>
      <c r="C3" s="1" t="s">
        <v>3</v>
      </c>
      <c r="E3" s="164" t="s">
        <v>9</v>
      </c>
      <c r="F3" s="164"/>
      <c r="G3">
        <v>0.5</v>
      </c>
      <c r="H3" t="s">
        <v>7</v>
      </c>
      <c r="I3" s="3" t="s">
        <v>15</v>
      </c>
      <c r="J3" s="3"/>
      <c r="L3" t="s">
        <v>50</v>
      </c>
      <c r="M3" s="2">
        <v>-3.0230000000000001</v>
      </c>
      <c r="N3" s="1" t="s">
        <v>3</v>
      </c>
    </row>
    <row r="4" spans="1:20" x14ac:dyDescent="0.25">
      <c r="A4" t="s">
        <v>4</v>
      </c>
      <c r="B4">
        <v>0</v>
      </c>
      <c r="C4" t="s">
        <v>7</v>
      </c>
      <c r="E4" s="166" t="s">
        <v>10</v>
      </c>
      <c r="F4" s="166"/>
      <c r="G4" s="21">
        <v>10</v>
      </c>
      <c r="H4" s="21" t="s">
        <v>7</v>
      </c>
      <c r="I4" s="3"/>
      <c r="J4" s="3"/>
    </row>
    <row r="5" spans="1:20" x14ac:dyDescent="0.25">
      <c r="A5" t="s">
        <v>5</v>
      </c>
      <c r="B5">
        <v>0</v>
      </c>
      <c r="C5" t="s">
        <v>7</v>
      </c>
      <c r="E5" s="164" t="s">
        <v>11</v>
      </c>
      <c r="F5" s="164"/>
      <c r="G5">
        <v>5</v>
      </c>
      <c r="H5" t="s">
        <v>7</v>
      </c>
      <c r="I5" s="4" t="s">
        <v>16</v>
      </c>
      <c r="J5" s="4"/>
    </row>
    <row r="6" spans="1:20" x14ac:dyDescent="0.25">
      <c r="E6" s="164" t="s">
        <v>12</v>
      </c>
      <c r="F6" s="164"/>
      <c r="G6">
        <v>10</v>
      </c>
      <c r="H6" t="s">
        <v>7</v>
      </c>
      <c r="I6" s="3" t="s">
        <v>17</v>
      </c>
      <c r="J6" s="3"/>
    </row>
    <row r="7" spans="1:20" x14ac:dyDescent="0.25">
      <c r="E7" s="164" t="s">
        <v>23</v>
      </c>
      <c r="F7" s="164"/>
      <c r="G7">
        <v>3</v>
      </c>
      <c r="H7" t="s">
        <v>24</v>
      </c>
      <c r="I7" s="3"/>
      <c r="J7" s="3"/>
    </row>
    <row r="8" spans="1:20" x14ac:dyDescent="0.25">
      <c r="E8" s="164" t="s">
        <v>22</v>
      </c>
      <c r="F8" s="164"/>
      <c r="G8">
        <v>75</v>
      </c>
      <c r="H8" t="s">
        <v>7</v>
      </c>
    </row>
    <row r="9" spans="1:20" x14ac:dyDescent="0.25">
      <c r="E9" s="167" t="s">
        <v>25</v>
      </c>
      <c r="F9" s="167"/>
      <c r="G9">
        <f>(1-(G2+G4+G5+G6)/100)*(1-G3*G7/G8/100)</f>
        <v>0.67986399999999991</v>
      </c>
    </row>
    <row r="10" spans="1:20" x14ac:dyDescent="0.25">
      <c r="E10" s="5"/>
      <c r="F10" s="5"/>
    </row>
    <row r="11" spans="1:20" x14ac:dyDescent="0.25">
      <c r="E11" s="5"/>
      <c r="F11" s="5"/>
    </row>
    <row r="12" spans="1:20" ht="15.75" thickBot="1" x14ac:dyDescent="0.3"/>
    <row r="13" spans="1:20" x14ac:dyDescent="0.25">
      <c r="A13" s="165" t="s">
        <v>18</v>
      </c>
      <c r="B13" s="165"/>
      <c r="C13" s="165"/>
      <c r="N13" s="104"/>
      <c r="O13" s="105"/>
      <c r="P13" s="105"/>
      <c r="Q13" s="105"/>
      <c r="R13" s="105"/>
      <c r="S13" s="105"/>
      <c r="T13" s="106"/>
    </row>
    <row r="14" spans="1:20" x14ac:dyDescent="0.25">
      <c r="A14" s="6" t="s">
        <v>19</v>
      </c>
      <c r="B14" s="6" t="s">
        <v>27</v>
      </c>
      <c r="C14" s="6" t="s">
        <v>20</v>
      </c>
      <c r="D14" s="6" t="s">
        <v>26</v>
      </c>
      <c r="E14" s="6" t="s">
        <v>21</v>
      </c>
      <c r="N14" s="107"/>
      <c r="O14" s="103" t="s">
        <v>184</v>
      </c>
      <c r="P14" s="108"/>
      <c r="Q14" s="108"/>
      <c r="R14" s="108"/>
      <c r="S14" s="108"/>
      <c r="T14" s="109"/>
    </row>
    <row r="15" spans="1:20" x14ac:dyDescent="0.25">
      <c r="A15" t="s">
        <v>284</v>
      </c>
      <c r="B15">
        <v>80</v>
      </c>
      <c r="C15">
        <v>5</v>
      </c>
      <c r="D15">
        <v>2</v>
      </c>
      <c r="E15">
        <f>B15*C15*D15</f>
        <v>800</v>
      </c>
      <c r="F15" t="s">
        <v>28</v>
      </c>
      <c r="N15" s="107" t="s">
        <v>190</v>
      </c>
      <c r="O15" s="110" t="s">
        <v>19</v>
      </c>
      <c r="P15" s="110" t="s">
        <v>27</v>
      </c>
      <c r="Q15" s="110" t="s">
        <v>20</v>
      </c>
      <c r="R15" s="110" t="s">
        <v>26</v>
      </c>
      <c r="S15" s="110" t="s">
        <v>21</v>
      </c>
      <c r="T15" s="109"/>
    </row>
    <row r="16" spans="1:20" x14ac:dyDescent="0.25">
      <c r="A16" t="s">
        <v>29</v>
      </c>
      <c r="B16">
        <v>100</v>
      </c>
      <c r="C16">
        <v>0.3</v>
      </c>
      <c r="D16">
        <v>1</v>
      </c>
      <c r="E16">
        <f t="shared" ref="E16:E30" si="0">B16*C16*D16</f>
        <v>30</v>
      </c>
      <c r="F16" t="s">
        <v>28</v>
      </c>
      <c r="H16" t="s">
        <v>45</v>
      </c>
      <c r="I16">
        <f>E31*(1+B5/100)</f>
        <v>6110.1</v>
      </c>
      <c r="K16" t="s">
        <v>28</v>
      </c>
      <c r="N16" s="107"/>
      <c r="O16" s="108" t="s">
        <v>185</v>
      </c>
      <c r="P16" s="108">
        <f>S16/(Q16*R16)</f>
        <v>10.044444444444444</v>
      </c>
      <c r="Q16" s="108">
        <v>2.5</v>
      </c>
      <c r="R16" s="108">
        <f>SUM(D22:D27)</f>
        <v>9</v>
      </c>
      <c r="S16" s="108">
        <f>SUM(E22:E27)</f>
        <v>226</v>
      </c>
      <c r="T16" s="109" t="s">
        <v>28</v>
      </c>
    </row>
    <row r="17" spans="1:20" x14ac:dyDescent="0.25">
      <c r="A17" t="s">
        <v>30</v>
      </c>
      <c r="B17">
        <v>2000</v>
      </c>
      <c r="C17">
        <v>0.5</v>
      </c>
      <c r="D17">
        <v>1</v>
      </c>
      <c r="E17">
        <f t="shared" si="0"/>
        <v>1000</v>
      </c>
      <c r="F17" t="s">
        <v>28</v>
      </c>
      <c r="H17" t="s">
        <v>46</v>
      </c>
      <c r="N17" s="107"/>
      <c r="O17" s="108" t="s">
        <v>186</v>
      </c>
      <c r="P17" s="108">
        <f t="shared" ref="P17:P20" si="1">S17/(Q17*R17)</f>
        <v>75.341666666666669</v>
      </c>
      <c r="Q17" s="108">
        <v>4</v>
      </c>
      <c r="R17" s="108">
        <f>SUM(D15,D29)</f>
        <v>3</v>
      </c>
      <c r="S17" s="108">
        <f>SUM(E15,E29)</f>
        <v>904.1</v>
      </c>
      <c r="T17" s="109" t="s">
        <v>28</v>
      </c>
    </row>
    <row r="18" spans="1:20" x14ac:dyDescent="0.25">
      <c r="A18" t="s">
        <v>31</v>
      </c>
      <c r="B18">
        <v>70</v>
      </c>
      <c r="C18">
        <v>14</v>
      </c>
      <c r="D18">
        <v>1</v>
      </c>
      <c r="E18">
        <f t="shared" si="0"/>
        <v>980</v>
      </c>
      <c r="F18" t="s">
        <v>28</v>
      </c>
      <c r="H18" s="9" t="s">
        <v>47</v>
      </c>
      <c r="I18" s="25">
        <f>I16/G9</f>
        <v>8987.2386241954282</v>
      </c>
      <c r="J18" s="9"/>
      <c r="K18" s="9" t="s">
        <v>28</v>
      </c>
      <c r="N18" s="107"/>
      <c r="O18" s="108" t="s">
        <v>187</v>
      </c>
      <c r="P18" s="108">
        <f t="shared" si="1"/>
        <v>77.5</v>
      </c>
      <c r="Q18" s="108">
        <v>14</v>
      </c>
      <c r="R18" s="108">
        <f>SUM(D18,D19)</f>
        <v>2</v>
      </c>
      <c r="S18" s="108">
        <f>SUM(E18,E19)</f>
        <v>2170</v>
      </c>
      <c r="T18" s="109" t="s">
        <v>28</v>
      </c>
    </row>
    <row r="19" spans="1:20" x14ac:dyDescent="0.25">
      <c r="A19" t="s">
        <v>32</v>
      </c>
      <c r="B19">
        <v>85</v>
      </c>
      <c r="C19">
        <v>14</v>
      </c>
      <c r="D19">
        <v>1</v>
      </c>
      <c r="E19">
        <f t="shared" si="0"/>
        <v>1190</v>
      </c>
      <c r="F19" t="s">
        <v>28</v>
      </c>
      <c r="N19" s="107"/>
      <c r="O19" s="108" t="s">
        <v>188</v>
      </c>
      <c r="P19" s="108">
        <f t="shared" si="1"/>
        <v>883.33333333333337</v>
      </c>
      <c r="Q19" s="108">
        <v>1.5</v>
      </c>
      <c r="R19" s="108">
        <f>SUM(D17,D28)</f>
        <v>2</v>
      </c>
      <c r="S19" s="108">
        <f>SUM(E17,E28)</f>
        <v>2650</v>
      </c>
      <c r="T19" s="109" t="s">
        <v>28</v>
      </c>
    </row>
    <row r="20" spans="1:20" x14ac:dyDescent="0.25">
      <c r="A20" t="s">
        <v>33</v>
      </c>
      <c r="B20">
        <v>25</v>
      </c>
      <c r="C20">
        <v>2</v>
      </c>
      <c r="D20">
        <v>1</v>
      </c>
      <c r="E20">
        <f t="shared" si="0"/>
        <v>50</v>
      </c>
      <c r="F20" t="s">
        <v>28</v>
      </c>
      <c r="N20" s="107"/>
      <c r="O20" s="108" t="s">
        <v>189</v>
      </c>
      <c r="P20" s="108">
        <f t="shared" si="1"/>
        <v>15.238095238095237</v>
      </c>
      <c r="Q20" s="108">
        <v>1.5</v>
      </c>
      <c r="R20" s="108">
        <f>SUM(D16,D20,D21,D30)</f>
        <v>7</v>
      </c>
      <c r="S20" s="108">
        <f>SUM(E16,E20,E21,E30)</f>
        <v>160</v>
      </c>
      <c r="T20" s="109" t="s">
        <v>28</v>
      </c>
    </row>
    <row r="21" spans="1:20" x14ac:dyDescent="0.25">
      <c r="A21" t="s">
        <v>34</v>
      </c>
      <c r="B21">
        <v>20</v>
      </c>
      <c r="C21">
        <v>2</v>
      </c>
      <c r="D21">
        <v>1</v>
      </c>
      <c r="E21">
        <f t="shared" si="0"/>
        <v>40</v>
      </c>
      <c r="F21" t="s">
        <v>28</v>
      </c>
      <c r="N21" s="107"/>
      <c r="O21" s="108" t="s">
        <v>190</v>
      </c>
      <c r="P21" s="108"/>
      <c r="Q21" s="108"/>
      <c r="R21" s="108"/>
      <c r="S21" s="108">
        <f>SUM(S16:S20)</f>
        <v>6110.1</v>
      </c>
      <c r="T21" s="109" t="s">
        <v>28</v>
      </c>
    </row>
    <row r="22" spans="1:20" x14ac:dyDescent="0.25">
      <c r="A22" t="s">
        <v>35</v>
      </c>
      <c r="B22">
        <v>19</v>
      </c>
      <c r="C22">
        <v>4</v>
      </c>
      <c r="D22">
        <v>1</v>
      </c>
      <c r="E22">
        <f t="shared" si="0"/>
        <v>76</v>
      </c>
      <c r="F22" t="s">
        <v>28</v>
      </c>
      <c r="N22" s="107"/>
      <c r="O22" s="108"/>
      <c r="P22" s="108"/>
      <c r="Q22" s="108"/>
      <c r="R22" s="108"/>
      <c r="S22" s="108"/>
      <c r="T22" s="109"/>
    </row>
    <row r="23" spans="1:20" x14ac:dyDescent="0.25">
      <c r="A23" t="s">
        <v>36</v>
      </c>
      <c r="B23">
        <v>19</v>
      </c>
      <c r="C23">
        <v>2.5</v>
      </c>
      <c r="D23">
        <v>1</v>
      </c>
      <c r="E23">
        <f t="shared" si="0"/>
        <v>47.5</v>
      </c>
      <c r="F23" t="s">
        <v>28</v>
      </c>
      <c r="N23" s="107" t="s">
        <v>192</v>
      </c>
      <c r="O23" s="110" t="s">
        <v>19</v>
      </c>
      <c r="P23" s="110" t="s">
        <v>27</v>
      </c>
      <c r="Q23" s="110" t="s">
        <v>20</v>
      </c>
      <c r="R23" s="110" t="s">
        <v>26</v>
      </c>
      <c r="S23" s="110" t="s">
        <v>21</v>
      </c>
      <c r="T23" s="109"/>
    </row>
    <row r="24" spans="1:20" x14ac:dyDescent="0.25">
      <c r="A24" t="s">
        <v>37</v>
      </c>
      <c r="B24">
        <v>13</v>
      </c>
      <c r="C24">
        <v>1</v>
      </c>
      <c r="D24">
        <v>3</v>
      </c>
      <c r="E24">
        <f t="shared" si="0"/>
        <v>39</v>
      </c>
      <c r="F24" t="s">
        <v>28</v>
      </c>
      <c r="N24" s="114" t="s">
        <v>195</v>
      </c>
      <c r="O24" s="108" t="s">
        <v>185</v>
      </c>
      <c r="P24" s="108">
        <f>S24/(Q24*R24)</f>
        <v>9.0400000000000009</v>
      </c>
      <c r="Q24" s="108">
        <v>2.5</v>
      </c>
      <c r="R24" s="108">
        <v>9</v>
      </c>
      <c r="S24" s="108">
        <f>S16*0.9</f>
        <v>203.4</v>
      </c>
      <c r="T24" s="109" t="s">
        <v>28</v>
      </c>
    </row>
    <row r="25" spans="1:20" x14ac:dyDescent="0.25">
      <c r="A25" t="s">
        <v>38</v>
      </c>
      <c r="B25">
        <v>26</v>
      </c>
      <c r="C25">
        <v>0.5</v>
      </c>
      <c r="D25">
        <v>1</v>
      </c>
      <c r="E25">
        <f t="shared" si="0"/>
        <v>13</v>
      </c>
      <c r="F25" t="s">
        <v>28</v>
      </c>
      <c r="N25" s="107"/>
      <c r="O25" s="108" t="s">
        <v>186</v>
      </c>
      <c r="P25" s="108">
        <f t="shared" ref="P25:P28" si="2">S25/(Q25*R25)</f>
        <v>67.807500000000005</v>
      </c>
      <c r="Q25" s="108">
        <v>4</v>
      </c>
      <c r="R25" s="108">
        <v>3</v>
      </c>
      <c r="S25" s="108">
        <f t="shared" ref="S25:S29" si="3">S17*0.9</f>
        <v>813.69</v>
      </c>
      <c r="T25" s="109" t="s">
        <v>28</v>
      </c>
    </row>
    <row r="26" spans="1:20" x14ac:dyDescent="0.25">
      <c r="A26" t="s">
        <v>39</v>
      </c>
      <c r="B26">
        <v>19</v>
      </c>
      <c r="C26">
        <v>1</v>
      </c>
      <c r="D26">
        <v>2</v>
      </c>
      <c r="E26">
        <f t="shared" si="0"/>
        <v>38</v>
      </c>
      <c r="F26" t="s">
        <v>28</v>
      </c>
      <c r="N26" s="107"/>
      <c r="O26" s="108" t="s">
        <v>187</v>
      </c>
      <c r="P26" s="108">
        <f t="shared" si="2"/>
        <v>69.75</v>
      </c>
      <c r="Q26" s="108">
        <v>14</v>
      </c>
      <c r="R26" s="108">
        <v>2</v>
      </c>
      <c r="S26" s="108">
        <f t="shared" si="3"/>
        <v>1953</v>
      </c>
      <c r="T26" s="109" t="s">
        <v>28</v>
      </c>
    </row>
    <row r="27" spans="1:20" x14ac:dyDescent="0.25">
      <c r="A27" t="s">
        <v>40</v>
      </c>
      <c r="B27">
        <v>25</v>
      </c>
      <c r="C27">
        <v>0.5</v>
      </c>
      <c r="D27">
        <v>1</v>
      </c>
      <c r="E27">
        <f t="shared" si="0"/>
        <v>12.5</v>
      </c>
      <c r="F27" t="s">
        <v>28</v>
      </c>
      <c r="N27" s="107"/>
      <c r="O27" s="108" t="s">
        <v>188</v>
      </c>
      <c r="P27" s="108">
        <f t="shared" si="2"/>
        <v>795</v>
      </c>
      <c r="Q27" s="108">
        <v>1.5</v>
      </c>
      <c r="R27" s="108">
        <v>2</v>
      </c>
      <c r="S27" s="108">
        <f t="shared" si="3"/>
        <v>2385</v>
      </c>
      <c r="T27" s="109" t="s">
        <v>28</v>
      </c>
    </row>
    <row r="28" spans="1:20" x14ac:dyDescent="0.25">
      <c r="A28" t="s">
        <v>41</v>
      </c>
      <c r="B28">
        <v>825</v>
      </c>
      <c r="C28">
        <v>2</v>
      </c>
      <c r="D28">
        <v>1</v>
      </c>
      <c r="E28">
        <f t="shared" si="0"/>
        <v>1650</v>
      </c>
      <c r="F28" t="s">
        <v>28</v>
      </c>
      <c r="N28" s="107"/>
      <c r="O28" s="108" t="s">
        <v>189</v>
      </c>
      <c r="P28" s="108">
        <f t="shared" si="2"/>
        <v>13.714285714285714</v>
      </c>
      <c r="Q28" s="108">
        <v>1.5</v>
      </c>
      <c r="R28" s="108">
        <v>7</v>
      </c>
      <c r="S28" s="108">
        <f t="shared" si="3"/>
        <v>144</v>
      </c>
      <c r="T28" s="109" t="s">
        <v>28</v>
      </c>
    </row>
    <row r="29" spans="1:20" x14ac:dyDescent="0.25">
      <c r="A29" t="s">
        <v>42</v>
      </c>
      <c r="B29">
        <v>69.400000000000006</v>
      </c>
      <c r="C29">
        <v>1.5</v>
      </c>
      <c r="D29">
        <v>1</v>
      </c>
      <c r="E29">
        <f t="shared" si="0"/>
        <v>104.10000000000001</v>
      </c>
      <c r="F29" t="s">
        <v>28</v>
      </c>
      <c r="N29" s="107"/>
      <c r="O29" s="108" t="s">
        <v>190</v>
      </c>
      <c r="P29" s="108"/>
      <c r="Q29" s="108"/>
      <c r="R29" s="108"/>
      <c r="S29" s="108">
        <f t="shared" si="3"/>
        <v>5499.09</v>
      </c>
      <c r="T29" s="109" t="s">
        <v>28</v>
      </c>
    </row>
    <row r="30" spans="1:20" x14ac:dyDescent="0.25">
      <c r="A30" t="s">
        <v>43</v>
      </c>
      <c r="B30">
        <v>5</v>
      </c>
      <c r="C30">
        <v>2</v>
      </c>
      <c r="D30">
        <v>4</v>
      </c>
      <c r="E30">
        <f t="shared" si="0"/>
        <v>40</v>
      </c>
      <c r="F30" t="s">
        <v>28</v>
      </c>
      <c r="N30" s="107"/>
      <c r="O30" s="108"/>
      <c r="P30" s="108"/>
      <c r="Q30" s="108"/>
      <c r="R30" s="108"/>
      <c r="S30" s="108"/>
      <c r="T30" s="109"/>
    </row>
    <row r="31" spans="1:20" x14ac:dyDescent="0.25">
      <c r="D31" s="7" t="s">
        <v>44</v>
      </c>
      <c r="E31" s="7">
        <f>SUM(E15:E30)</f>
        <v>6110.1</v>
      </c>
      <c r="F31" s="7" t="s">
        <v>28</v>
      </c>
      <c r="N31" s="107" t="s">
        <v>193</v>
      </c>
      <c r="O31" s="110" t="s">
        <v>19</v>
      </c>
      <c r="P31" s="110" t="s">
        <v>27</v>
      </c>
      <c r="Q31" s="110" t="s">
        <v>20</v>
      </c>
      <c r="R31" s="110" t="s">
        <v>26</v>
      </c>
      <c r="S31" s="110" t="s">
        <v>21</v>
      </c>
      <c r="T31" s="109"/>
    </row>
    <row r="32" spans="1:20" x14ac:dyDescent="0.25">
      <c r="N32" s="107" t="s">
        <v>194</v>
      </c>
      <c r="O32" s="108" t="s">
        <v>185</v>
      </c>
      <c r="P32" s="108">
        <f>S32/(Q32*R32)</f>
        <v>1.0044444444444445</v>
      </c>
      <c r="Q32" s="108">
        <v>2.5</v>
      </c>
      <c r="R32" s="108">
        <v>9</v>
      </c>
      <c r="S32" s="108">
        <f>S16*0.1</f>
        <v>22.6</v>
      </c>
      <c r="T32" s="109" t="s">
        <v>28</v>
      </c>
    </row>
    <row r="33" spans="1:20" x14ac:dyDescent="0.25">
      <c r="A33" s="165" t="s">
        <v>51</v>
      </c>
      <c r="B33" s="165"/>
      <c r="C33" s="165"/>
      <c r="N33" s="107"/>
      <c r="O33" s="108" t="s">
        <v>186</v>
      </c>
      <c r="P33" s="108">
        <f t="shared" ref="P33:P36" si="4">S33/(Q33*R33)</f>
        <v>7.5341666666666676</v>
      </c>
      <c r="Q33" s="108">
        <v>4</v>
      </c>
      <c r="R33" s="108">
        <v>3</v>
      </c>
      <c r="S33" s="108">
        <f t="shared" ref="S33:S36" si="5">S17*0.1</f>
        <v>90.410000000000011</v>
      </c>
      <c r="T33" s="109" t="s">
        <v>28</v>
      </c>
    </row>
    <row r="34" spans="1:20" ht="17.25" x14ac:dyDescent="0.25">
      <c r="A34" s="6" t="s">
        <v>52</v>
      </c>
      <c r="B34" s="6" t="s">
        <v>53</v>
      </c>
      <c r="C34" s="6" t="s">
        <v>56</v>
      </c>
      <c r="D34" s="6" t="s">
        <v>54</v>
      </c>
      <c r="E34" s="6" t="s">
        <v>55</v>
      </c>
      <c r="G34" s="10" t="s">
        <v>69</v>
      </c>
      <c r="N34" s="107"/>
      <c r="O34" s="108" t="s">
        <v>187</v>
      </c>
      <c r="P34" s="108">
        <f t="shared" si="4"/>
        <v>7.75</v>
      </c>
      <c r="Q34" s="108">
        <v>14</v>
      </c>
      <c r="R34" s="108">
        <v>2</v>
      </c>
      <c r="S34" s="108">
        <f t="shared" si="5"/>
        <v>217</v>
      </c>
      <c r="T34" s="109" t="s">
        <v>28</v>
      </c>
    </row>
    <row r="35" spans="1:20" x14ac:dyDescent="0.25">
      <c r="A35" t="s">
        <v>57</v>
      </c>
      <c r="B35">
        <v>1430</v>
      </c>
      <c r="C35" s="11">
        <v>2230</v>
      </c>
      <c r="D35">
        <v>2250</v>
      </c>
      <c r="E35">
        <v>61</v>
      </c>
      <c r="N35" s="107"/>
      <c r="O35" s="108" t="s">
        <v>188</v>
      </c>
      <c r="P35" s="108">
        <f t="shared" si="4"/>
        <v>88.333333333333329</v>
      </c>
      <c r="Q35" s="108">
        <v>1.5</v>
      </c>
      <c r="R35" s="108">
        <v>2</v>
      </c>
      <c r="S35" s="108">
        <f t="shared" si="5"/>
        <v>265</v>
      </c>
      <c r="T35" s="109" t="s">
        <v>28</v>
      </c>
    </row>
    <row r="36" spans="1:20" x14ac:dyDescent="0.25">
      <c r="A36" t="s">
        <v>58</v>
      </c>
      <c r="B36">
        <v>2090</v>
      </c>
      <c r="C36" s="11">
        <v>2930</v>
      </c>
      <c r="D36">
        <v>2940</v>
      </c>
      <c r="E36">
        <v>54</v>
      </c>
      <c r="N36" s="107"/>
      <c r="O36" s="108" t="s">
        <v>189</v>
      </c>
      <c r="P36" s="108">
        <f t="shared" si="4"/>
        <v>1.5238095238095237</v>
      </c>
      <c r="Q36" s="108">
        <v>1.5</v>
      </c>
      <c r="R36" s="108">
        <v>7</v>
      </c>
      <c r="S36" s="108">
        <f t="shared" si="5"/>
        <v>16</v>
      </c>
      <c r="T36" s="109" t="s">
        <v>28</v>
      </c>
    </row>
    <row r="37" spans="1:20" x14ac:dyDescent="0.25">
      <c r="A37" t="s">
        <v>59</v>
      </c>
      <c r="B37">
        <v>3580</v>
      </c>
      <c r="C37" s="11">
        <v>4440</v>
      </c>
      <c r="D37">
        <v>4450</v>
      </c>
      <c r="E37">
        <v>43</v>
      </c>
      <c r="N37" s="107"/>
      <c r="O37" s="108" t="s">
        <v>190</v>
      </c>
      <c r="P37" s="108"/>
      <c r="Q37" s="108"/>
      <c r="R37" s="108"/>
      <c r="S37" s="108">
        <f>SUM(S32:S36)</f>
        <v>611.01</v>
      </c>
      <c r="T37" s="109" t="s">
        <v>28</v>
      </c>
    </row>
    <row r="38" spans="1:20" ht="15.75" thickBot="1" x14ac:dyDescent="0.3">
      <c r="A38" t="s">
        <v>60</v>
      </c>
      <c r="B38">
        <v>4310</v>
      </c>
      <c r="C38" s="11">
        <v>4670</v>
      </c>
      <c r="D38">
        <v>4670</v>
      </c>
      <c r="E38">
        <v>28</v>
      </c>
      <c r="N38" s="111"/>
      <c r="O38" s="112"/>
      <c r="P38" s="112"/>
      <c r="Q38" s="112"/>
      <c r="R38" s="112"/>
      <c r="S38" s="112"/>
      <c r="T38" s="113"/>
    </row>
    <row r="39" spans="1:20" x14ac:dyDescent="0.25">
      <c r="A39" t="s">
        <v>61</v>
      </c>
      <c r="B39">
        <v>5130</v>
      </c>
      <c r="C39" s="11">
        <v>5080</v>
      </c>
      <c r="D39">
        <v>5060</v>
      </c>
      <c r="E39">
        <v>15</v>
      </c>
    </row>
    <row r="40" spans="1:20" x14ac:dyDescent="0.25">
      <c r="A40" t="s">
        <v>62</v>
      </c>
      <c r="B40">
        <v>5630</v>
      </c>
      <c r="C40" s="11">
        <v>5350</v>
      </c>
      <c r="D40">
        <v>5320</v>
      </c>
      <c r="E40">
        <v>9</v>
      </c>
    </row>
    <row r="41" spans="1:20" x14ac:dyDescent="0.25">
      <c r="A41" t="s">
        <v>63</v>
      </c>
      <c r="B41">
        <v>5930</v>
      </c>
      <c r="C41" s="11">
        <v>5760</v>
      </c>
      <c r="D41">
        <v>5730</v>
      </c>
      <c r="E41">
        <v>12</v>
      </c>
    </row>
    <row r="42" spans="1:20" x14ac:dyDescent="0.25">
      <c r="A42" t="s">
        <v>64</v>
      </c>
      <c r="B42">
        <v>5100</v>
      </c>
      <c r="C42" s="11">
        <v>5400</v>
      </c>
      <c r="D42">
        <v>5390</v>
      </c>
      <c r="E42">
        <v>24</v>
      </c>
    </row>
    <row r="43" spans="1:20" x14ac:dyDescent="0.25">
      <c r="A43" t="s">
        <v>65</v>
      </c>
      <c r="B43">
        <v>4120</v>
      </c>
      <c r="C43" s="11">
        <v>4960</v>
      </c>
      <c r="D43">
        <v>4970</v>
      </c>
      <c r="E43">
        <v>39</v>
      </c>
    </row>
    <row r="44" spans="1:20" x14ac:dyDescent="0.25">
      <c r="A44" t="s">
        <v>66</v>
      </c>
      <c r="B44">
        <v>2800</v>
      </c>
      <c r="C44" s="11">
        <v>3840</v>
      </c>
      <c r="D44">
        <v>3860</v>
      </c>
      <c r="E44">
        <v>51</v>
      </c>
    </row>
    <row r="45" spans="1:20" x14ac:dyDescent="0.25">
      <c r="A45" t="s">
        <v>67</v>
      </c>
      <c r="B45">
        <v>1550</v>
      </c>
      <c r="C45" s="11">
        <v>2300</v>
      </c>
      <c r="D45">
        <v>2310</v>
      </c>
      <c r="E45">
        <v>59</v>
      </c>
    </row>
    <row r="46" spans="1:20" x14ac:dyDescent="0.25">
      <c r="A46" t="s">
        <v>68</v>
      </c>
      <c r="B46">
        <v>1300</v>
      </c>
      <c r="C46" s="11">
        <v>2140</v>
      </c>
      <c r="D46">
        <v>2160</v>
      </c>
      <c r="E46">
        <v>64</v>
      </c>
      <c r="G46" s="18" t="s">
        <v>91</v>
      </c>
      <c r="H46" s="18">
        <f>C46/1000</f>
        <v>2.14</v>
      </c>
      <c r="I46" s="19" t="s">
        <v>96</v>
      </c>
      <c r="J46" s="20">
        <f>$I$18/(H46*B59)</f>
        <v>4666.2713521263904</v>
      </c>
      <c r="K46" s="19" t="s">
        <v>97</v>
      </c>
    </row>
    <row r="49" spans="1:15" x14ac:dyDescent="0.25">
      <c r="A49" s="165" t="s">
        <v>70</v>
      </c>
      <c r="B49" s="165"/>
      <c r="C49" s="165"/>
      <c r="M49" s="14">
        <v>1</v>
      </c>
      <c r="N49" s="14" t="s">
        <v>76</v>
      </c>
      <c r="O49" s="26" t="s">
        <v>75</v>
      </c>
    </row>
    <row r="50" spans="1:15" x14ac:dyDescent="0.25">
      <c r="B50" s="14">
        <v>1</v>
      </c>
      <c r="C50" s="14">
        <v>2</v>
      </c>
      <c r="D50" s="14">
        <v>3</v>
      </c>
      <c r="E50" s="14">
        <v>4</v>
      </c>
      <c r="F50" s="14">
        <v>5</v>
      </c>
      <c r="G50" s="14">
        <v>6</v>
      </c>
      <c r="N50" t="s">
        <v>136</v>
      </c>
    </row>
    <row r="51" spans="1:15" x14ac:dyDescent="0.25">
      <c r="A51" s="29" t="s">
        <v>71</v>
      </c>
      <c r="B51" t="s">
        <v>119</v>
      </c>
      <c r="C51" t="s">
        <v>119</v>
      </c>
      <c r="D51" t="s">
        <v>120</v>
      </c>
      <c r="E51" t="s">
        <v>119</v>
      </c>
      <c r="F51" t="s">
        <v>119</v>
      </c>
      <c r="G51" t="s">
        <v>119</v>
      </c>
      <c r="M51" s="14">
        <v>2</v>
      </c>
      <c r="N51" s="7" t="s">
        <v>94</v>
      </c>
      <c r="O51" s="26" t="s">
        <v>83</v>
      </c>
    </row>
    <row r="52" spans="1:15" x14ac:dyDescent="0.25">
      <c r="A52" s="29" t="s">
        <v>72</v>
      </c>
      <c r="B52" s="24">
        <v>250</v>
      </c>
      <c r="C52" s="24">
        <v>150</v>
      </c>
      <c r="D52" s="24">
        <v>80</v>
      </c>
      <c r="E52" s="24">
        <v>200</v>
      </c>
      <c r="F52" s="24">
        <v>200</v>
      </c>
      <c r="G52" s="24">
        <v>320</v>
      </c>
    </row>
    <row r="53" spans="1:15" x14ac:dyDescent="0.25">
      <c r="A53" s="29" t="s">
        <v>74</v>
      </c>
      <c r="B53" s="24">
        <v>24</v>
      </c>
      <c r="C53" s="24">
        <v>12</v>
      </c>
      <c r="D53" s="24">
        <v>12</v>
      </c>
      <c r="E53" s="24">
        <v>12</v>
      </c>
      <c r="F53" s="24">
        <v>24</v>
      </c>
      <c r="G53" s="24">
        <v>24</v>
      </c>
      <c r="M53" s="14">
        <v>3</v>
      </c>
      <c r="N53" s="7" t="s">
        <v>94</v>
      </c>
      <c r="O53" s="26" t="s">
        <v>80</v>
      </c>
    </row>
    <row r="54" spans="1:15" x14ac:dyDescent="0.25">
      <c r="A54" s="29" t="s">
        <v>93</v>
      </c>
      <c r="B54">
        <f>B52*$H$46*B59</f>
        <v>481.5</v>
      </c>
      <c r="C54">
        <f t="shared" ref="C54:G54" si="6">C52*$H$46*C59</f>
        <v>288.90000000000003</v>
      </c>
      <c r="D54">
        <f t="shared" si="6"/>
        <v>154.08000000000001</v>
      </c>
      <c r="E54">
        <f t="shared" si="6"/>
        <v>385.2</v>
      </c>
      <c r="F54">
        <f t="shared" si="6"/>
        <v>385.2</v>
      </c>
      <c r="G54">
        <f t="shared" si="6"/>
        <v>616.32000000000005</v>
      </c>
      <c r="M54" s="14"/>
    </row>
    <row r="55" spans="1:15" x14ac:dyDescent="0.25">
      <c r="A55" s="29" t="s">
        <v>73</v>
      </c>
      <c r="M55" s="14">
        <v>4</v>
      </c>
      <c r="N55" s="7" t="s">
        <v>94</v>
      </c>
      <c r="O55" s="26" t="s">
        <v>88</v>
      </c>
    </row>
    <row r="56" spans="1:15" x14ac:dyDescent="0.25">
      <c r="A56" s="30" t="s">
        <v>77</v>
      </c>
      <c r="B56" t="s">
        <v>78</v>
      </c>
      <c r="C56" t="s">
        <v>82</v>
      </c>
      <c r="D56" t="s">
        <v>79</v>
      </c>
      <c r="E56" t="s">
        <v>84</v>
      </c>
      <c r="F56" t="s">
        <v>86</v>
      </c>
      <c r="G56" t="s">
        <v>90</v>
      </c>
      <c r="M56" s="14"/>
    </row>
    <row r="57" spans="1:15" x14ac:dyDescent="0.25">
      <c r="A57" s="30" t="s">
        <v>85</v>
      </c>
      <c r="B57">
        <v>1.627</v>
      </c>
      <c r="C57">
        <v>0.97299999999999998</v>
      </c>
      <c r="D57">
        <v>0.65100000000000002</v>
      </c>
      <c r="E57">
        <v>1.3109999999999999</v>
      </c>
      <c r="F57">
        <v>1.4750000000000001</v>
      </c>
      <c r="G57" s="17">
        <v>1.94</v>
      </c>
      <c r="M57" s="14">
        <v>5</v>
      </c>
      <c r="N57" s="7" t="s">
        <v>94</v>
      </c>
      <c r="O57" s="26" t="s">
        <v>87</v>
      </c>
    </row>
    <row r="58" spans="1:15" x14ac:dyDescent="0.25">
      <c r="A58" s="30" t="s">
        <v>81</v>
      </c>
      <c r="B58" s="23" t="s">
        <v>99</v>
      </c>
      <c r="C58">
        <v>197</v>
      </c>
      <c r="D58">
        <v>169</v>
      </c>
      <c r="E58">
        <v>190</v>
      </c>
      <c r="F58">
        <v>182</v>
      </c>
      <c r="G58">
        <v>238</v>
      </c>
      <c r="M58" s="14"/>
    </row>
    <row r="59" spans="1:15" x14ac:dyDescent="0.25">
      <c r="A59" s="30" t="s">
        <v>92</v>
      </c>
      <c r="B59" s="21">
        <v>0.9</v>
      </c>
      <c r="C59" s="21">
        <v>0.9</v>
      </c>
      <c r="D59" s="21">
        <v>0.9</v>
      </c>
      <c r="E59" s="21">
        <v>0.9</v>
      </c>
      <c r="F59" s="21">
        <v>0.9</v>
      </c>
      <c r="G59" s="21">
        <v>0.9</v>
      </c>
      <c r="M59" s="14">
        <v>6</v>
      </c>
      <c r="N59" s="7" t="s">
        <v>94</v>
      </c>
      <c r="O59" s="26" t="s">
        <v>89</v>
      </c>
    </row>
    <row r="60" spans="1:15" x14ac:dyDescent="0.25">
      <c r="A60" s="30" t="s">
        <v>95</v>
      </c>
      <c r="B60" s="16">
        <f>B54/B53</f>
        <v>20.0625</v>
      </c>
      <c r="C60">
        <f t="shared" ref="C60:G60" si="7">C54/C53</f>
        <v>24.075000000000003</v>
      </c>
      <c r="D60">
        <f t="shared" si="7"/>
        <v>12.840000000000002</v>
      </c>
      <c r="E60">
        <f t="shared" si="7"/>
        <v>32.1</v>
      </c>
      <c r="F60">
        <f t="shared" si="7"/>
        <v>16.05</v>
      </c>
      <c r="G60">
        <f t="shared" si="7"/>
        <v>25.680000000000003</v>
      </c>
    </row>
    <row r="61" spans="1:15" x14ac:dyDescent="0.25">
      <c r="A61" s="30" t="s">
        <v>98</v>
      </c>
      <c r="B61">
        <f>$I$18/B54</f>
        <v>18.665085408505561</v>
      </c>
      <c r="C61">
        <f t="shared" ref="C61:G61" si="8">$I$18/C54</f>
        <v>31.108475680842599</v>
      </c>
      <c r="D61">
        <f t="shared" si="8"/>
        <v>58.328391901579877</v>
      </c>
      <c r="E61">
        <f t="shared" si="8"/>
        <v>23.331356760631955</v>
      </c>
      <c r="F61">
        <f t="shared" si="8"/>
        <v>23.331356760631955</v>
      </c>
      <c r="G61">
        <f t="shared" si="8"/>
        <v>14.582097975394969</v>
      </c>
    </row>
    <row r="62" spans="1:15" x14ac:dyDescent="0.25">
      <c r="A62" s="30"/>
      <c r="B62" s="33">
        <f>ROUNDUP(B61,0)</f>
        <v>19</v>
      </c>
      <c r="C62" s="33">
        <f t="shared" ref="C62:G62" si="9">ROUNDUP(C61,0)</f>
        <v>32</v>
      </c>
      <c r="D62" s="33">
        <f t="shared" si="9"/>
        <v>59</v>
      </c>
      <c r="E62" s="33">
        <f t="shared" si="9"/>
        <v>24</v>
      </c>
      <c r="F62" s="33">
        <f t="shared" si="9"/>
        <v>24</v>
      </c>
      <c r="G62" s="33">
        <f t="shared" si="9"/>
        <v>15</v>
      </c>
    </row>
    <row r="63" spans="1:15" x14ac:dyDescent="0.25">
      <c r="A63" s="30" t="s">
        <v>100</v>
      </c>
      <c r="B63" s="24">
        <f>B57*B62</f>
        <v>30.913</v>
      </c>
      <c r="C63" s="24">
        <f t="shared" ref="C63:G63" si="10">C57*C62</f>
        <v>31.135999999999999</v>
      </c>
      <c r="D63" s="24">
        <f t="shared" si="10"/>
        <v>38.408999999999999</v>
      </c>
      <c r="E63" s="24">
        <f t="shared" si="10"/>
        <v>31.463999999999999</v>
      </c>
      <c r="F63" s="24">
        <f t="shared" si="10"/>
        <v>35.400000000000006</v>
      </c>
      <c r="G63" s="24">
        <f t="shared" si="10"/>
        <v>29.099999999999998</v>
      </c>
    </row>
    <row r="64" spans="1:15" x14ac:dyDescent="0.25">
      <c r="A64" s="30" t="s">
        <v>101</v>
      </c>
      <c r="B64" s="23" t="s">
        <v>99</v>
      </c>
      <c r="C64">
        <f>C58*C62</f>
        <v>6304</v>
      </c>
      <c r="D64">
        <f t="shared" ref="D64:G64" si="11">D58*D62</f>
        <v>9971</v>
      </c>
      <c r="E64">
        <f t="shared" si="11"/>
        <v>4560</v>
      </c>
      <c r="F64">
        <f t="shared" si="11"/>
        <v>4368</v>
      </c>
      <c r="G64">
        <f t="shared" si="11"/>
        <v>3570</v>
      </c>
    </row>
    <row r="65" spans="1:10" x14ac:dyDescent="0.25">
      <c r="A65" s="31" t="s">
        <v>126</v>
      </c>
      <c r="B65" s="28">
        <v>8.17</v>
      </c>
      <c r="C65" s="28">
        <v>8.41</v>
      </c>
      <c r="D65" s="28">
        <v>4.45</v>
      </c>
      <c r="E65" s="28">
        <v>11.13</v>
      </c>
      <c r="F65" s="28">
        <v>5.55</v>
      </c>
      <c r="G65" s="28">
        <v>8.6999999999999993</v>
      </c>
    </row>
    <row r="66" spans="1:10" x14ac:dyDescent="0.25">
      <c r="A66" s="31" t="s">
        <v>129</v>
      </c>
      <c r="B66" s="28">
        <v>30.6</v>
      </c>
      <c r="C66" s="28">
        <v>17.84</v>
      </c>
      <c r="D66" s="28">
        <v>18</v>
      </c>
      <c r="E66" s="28">
        <v>17.97</v>
      </c>
      <c r="F66" s="28">
        <v>36.1</v>
      </c>
      <c r="G66" s="28">
        <v>36.799999999999997</v>
      </c>
    </row>
    <row r="67" spans="1:10" x14ac:dyDescent="0.25">
      <c r="A67" s="31" t="s">
        <v>127</v>
      </c>
      <c r="B67" s="28">
        <v>8.69</v>
      </c>
      <c r="C67" s="28">
        <v>8.69</v>
      </c>
      <c r="D67" s="28">
        <v>4.96</v>
      </c>
      <c r="E67" s="28">
        <v>11.64</v>
      </c>
      <c r="F67" s="28">
        <v>6</v>
      </c>
      <c r="G67" s="28">
        <v>9.42</v>
      </c>
    </row>
    <row r="68" spans="1:10" x14ac:dyDescent="0.25">
      <c r="A68" s="31" t="s">
        <v>128</v>
      </c>
      <c r="B68" s="28">
        <v>37.4</v>
      </c>
      <c r="C68" s="28">
        <v>22.6</v>
      </c>
      <c r="D68" s="28">
        <v>22.3</v>
      </c>
      <c r="E68" s="28">
        <v>22.97</v>
      </c>
      <c r="F68" s="28">
        <v>44.53</v>
      </c>
      <c r="G68" s="28">
        <v>45.3</v>
      </c>
    </row>
    <row r="69" spans="1:10" x14ac:dyDescent="0.25">
      <c r="A69" s="31" t="s">
        <v>125</v>
      </c>
      <c r="B69" s="28">
        <v>-0.39</v>
      </c>
      <c r="C69" s="28">
        <v>-0.43</v>
      </c>
      <c r="D69" s="28">
        <v>-0.48</v>
      </c>
      <c r="E69" s="28">
        <v>-0.38450000000000001</v>
      </c>
      <c r="F69" s="28">
        <v>-0.38450000000000001</v>
      </c>
      <c r="G69" s="28">
        <v>-0.38450000000000001</v>
      </c>
      <c r="H69" s="27" t="s">
        <v>157</v>
      </c>
    </row>
    <row r="70" spans="1:10" hidden="1" x14ac:dyDescent="0.25">
      <c r="A70" s="62" t="s">
        <v>131</v>
      </c>
      <c r="B70" s="12">
        <f>$H$46*B65*B59</f>
        <v>15.735420000000003</v>
      </c>
      <c r="C70" s="12">
        <f t="shared" ref="C70:G70" si="12">$H$46*C65*C59</f>
        <v>16.197660000000003</v>
      </c>
      <c r="D70" s="12">
        <f t="shared" si="12"/>
        <v>8.5707000000000022</v>
      </c>
      <c r="E70" s="12">
        <f t="shared" si="12"/>
        <v>21.436380000000003</v>
      </c>
      <c r="F70" s="12">
        <f t="shared" si="12"/>
        <v>10.689300000000001</v>
      </c>
      <c r="G70" s="12">
        <f t="shared" si="12"/>
        <v>16.7562</v>
      </c>
      <c r="H70" s="13"/>
    </row>
    <row r="71" spans="1:10" hidden="1" x14ac:dyDescent="0.25">
      <c r="A71" s="62" t="s">
        <v>130</v>
      </c>
      <c r="B71" s="12">
        <f>$I$18/(B53*B70)</f>
        <v>23.79779351349648</v>
      </c>
      <c r="C71" s="12">
        <f t="shared" ref="C71:G71" si="13">$I$18/(C53*C70)</f>
        <v>46.237330084486615</v>
      </c>
      <c r="D71" s="12">
        <f t="shared" si="13"/>
        <v>87.38335865405223</v>
      </c>
      <c r="E71" s="12">
        <f t="shared" si="13"/>
        <v>34.93764115099124</v>
      </c>
      <c r="F71" s="12">
        <f t="shared" si="13"/>
        <v>35.032067208156086</v>
      </c>
      <c r="G71" s="12">
        <f t="shared" si="13"/>
        <v>22.348042874168538</v>
      </c>
      <c r="J71" s="15" t="s">
        <v>133</v>
      </c>
    </row>
    <row r="72" spans="1:10" hidden="1" x14ac:dyDescent="0.25">
      <c r="A72" s="12"/>
      <c r="B72" s="63">
        <f>ROUNDUP(B71,0)</f>
        <v>24</v>
      </c>
      <c r="C72" s="63">
        <f t="shared" ref="C72:G72" si="14">ROUNDUP(C71,0)</f>
        <v>47</v>
      </c>
      <c r="D72" s="63">
        <f t="shared" si="14"/>
        <v>88</v>
      </c>
      <c r="E72" s="63">
        <f t="shared" si="14"/>
        <v>35</v>
      </c>
      <c r="F72" s="63">
        <f t="shared" si="14"/>
        <v>36</v>
      </c>
      <c r="G72" s="63">
        <f t="shared" si="14"/>
        <v>23</v>
      </c>
      <c r="H72" t="s">
        <v>154</v>
      </c>
    </row>
    <row r="73" spans="1:10" hidden="1" x14ac:dyDescent="0.25">
      <c r="A73" s="12" t="s">
        <v>132</v>
      </c>
      <c r="B73" s="64" t="e">
        <f>B72*B58</f>
        <v>#VALUE!</v>
      </c>
      <c r="C73" s="12">
        <f>C72*C58</f>
        <v>9259</v>
      </c>
      <c r="D73" s="12">
        <f t="shared" ref="D73:G73" si="15">D72*D58</f>
        <v>14872</v>
      </c>
      <c r="E73" s="12">
        <f t="shared" si="15"/>
        <v>6650</v>
      </c>
      <c r="F73" s="12">
        <f t="shared" si="15"/>
        <v>6552</v>
      </c>
      <c r="G73" s="12">
        <f t="shared" si="15"/>
        <v>5474</v>
      </c>
    </row>
    <row r="74" spans="1:10" hidden="1" x14ac:dyDescent="0.25">
      <c r="A74" s="12" t="s">
        <v>134</v>
      </c>
      <c r="B74" s="12">
        <f>B72*B57</f>
        <v>39.048000000000002</v>
      </c>
      <c r="C74" s="12">
        <f t="shared" ref="C74:G74" si="16">C72*C57</f>
        <v>45.731000000000002</v>
      </c>
      <c r="D74" s="12">
        <f t="shared" si="16"/>
        <v>57.288000000000004</v>
      </c>
      <c r="E74" s="12">
        <f t="shared" si="16"/>
        <v>45.884999999999998</v>
      </c>
      <c r="F74" s="12">
        <f t="shared" si="16"/>
        <v>53.1</v>
      </c>
      <c r="G74" s="12">
        <f t="shared" si="16"/>
        <v>44.62</v>
      </c>
    </row>
    <row r="75" spans="1:10" x14ac:dyDescent="0.25">
      <c r="A75" s="13"/>
    </row>
    <row r="76" spans="1:10" x14ac:dyDescent="0.25">
      <c r="A76" s="13"/>
    </row>
    <row r="77" spans="1:10" x14ac:dyDescent="0.25">
      <c r="A77" s="13"/>
      <c r="G77" s="22"/>
    </row>
    <row r="78" spans="1:10" x14ac:dyDescent="0.25">
      <c r="A78" s="13"/>
    </row>
    <row r="79" spans="1:10" x14ac:dyDescent="0.25">
      <c r="A79" s="13"/>
    </row>
    <row r="80" spans="1:10" x14ac:dyDescent="0.25">
      <c r="A80" s="13"/>
    </row>
    <row r="81" spans="1:1" x14ac:dyDescent="0.25">
      <c r="A81" s="13"/>
    </row>
    <row r="82" spans="1:1" x14ac:dyDescent="0.25">
      <c r="A82" s="13"/>
    </row>
  </sheetData>
  <mergeCells count="12">
    <mergeCell ref="E6:F6"/>
    <mergeCell ref="A49:C49"/>
    <mergeCell ref="A1:C1"/>
    <mergeCell ref="E2:F2"/>
    <mergeCell ref="E3:F3"/>
    <mergeCell ref="E4:F4"/>
    <mergeCell ref="E5:F5"/>
    <mergeCell ref="A13:C13"/>
    <mergeCell ref="E8:F8"/>
    <mergeCell ref="E7:F7"/>
    <mergeCell ref="E9:F9"/>
    <mergeCell ref="A33:C33"/>
  </mergeCells>
  <hyperlinks>
    <hyperlink ref="O49" r:id="rId1"/>
    <hyperlink ref="O51" r:id="rId2"/>
    <hyperlink ref="O53" r:id="rId3"/>
    <hyperlink ref="O55" r:id="rId4"/>
    <hyperlink ref="O57" r:id="rId5"/>
    <hyperlink ref="O59" r:id="rId6"/>
  </hyperlinks>
  <pageMargins left="0.7" right="0.7" top="0.75" bottom="0.75" header="0.3" footer="0.3"/>
  <pageSetup paperSize="9" orientation="portrait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zoomScale="90" zoomScaleNormal="90" workbookViewId="0">
      <selection activeCell="A15" sqref="A15:E17"/>
    </sheetView>
  </sheetViews>
  <sheetFormatPr baseColWidth="10" defaultRowHeight="15" x14ac:dyDescent="0.25"/>
  <cols>
    <col min="1" max="1" width="19.42578125" customWidth="1"/>
    <col min="10" max="10" width="14.28515625" customWidth="1"/>
  </cols>
  <sheetData>
    <row r="2" spans="1:11" x14ac:dyDescent="0.25">
      <c r="A2" s="168" t="s">
        <v>102</v>
      </c>
      <c r="B2" s="168"/>
      <c r="C2" s="168"/>
      <c r="D2" s="168"/>
    </row>
    <row r="3" spans="1:11" x14ac:dyDescent="0.25">
      <c r="A3" t="s">
        <v>103</v>
      </c>
      <c r="B3">
        <f>Paneles!G7</f>
        <v>3</v>
      </c>
    </row>
    <row r="4" spans="1:11" x14ac:dyDescent="0.25">
      <c r="A4" t="s">
        <v>104</v>
      </c>
      <c r="B4">
        <f>Paneles!G8/100</f>
        <v>0.75</v>
      </c>
    </row>
    <row r="5" spans="1:11" x14ac:dyDescent="0.25">
      <c r="A5" t="s">
        <v>121</v>
      </c>
      <c r="B5" s="2">
        <f>Paneles!$I$18/12</f>
        <v>748.93655201628565</v>
      </c>
      <c r="I5" s="14"/>
      <c r="J5" s="7"/>
      <c r="K5" s="26"/>
    </row>
    <row r="6" spans="1:11" x14ac:dyDescent="0.25">
      <c r="A6" s="15" t="s">
        <v>122</v>
      </c>
      <c r="B6" s="34">
        <f>Paneles!$I$18/24</f>
        <v>374.46827600814282</v>
      </c>
      <c r="I6" s="14">
        <v>1</v>
      </c>
      <c r="J6" s="7" t="s">
        <v>116</v>
      </c>
      <c r="K6" s="26" t="s">
        <v>110</v>
      </c>
    </row>
    <row r="7" spans="1:11" x14ac:dyDescent="0.25">
      <c r="A7" t="s">
        <v>123</v>
      </c>
      <c r="B7" s="2">
        <f>B5*$B$3</f>
        <v>2246.8096560488571</v>
      </c>
      <c r="I7" s="14"/>
      <c r="J7" s="7"/>
    </row>
    <row r="8" spans="1:11" x14ac:dyDescent="0.25">
      <c r="A8" s="15" t="s">
        <v>124</v>
      </c>
      <c r="B8" s="34">
        <f>B6*$B$3</f>
        <v>1123.4048280244285</v>
      </c>
      <c r="I8" s="14">
        <v>2</v>
      </c>
      <c r="J8" s="7" t="s">
        <v>117</v>
      </c>
      <c r="K8" s="26" t="s">
        <v>113</v>
      </c>
    </row>
    <row r="9" spans="1:11" x14ac:dyDescent="0.25">
      <c r="A9" s="8" t="s">
        <v>105</v>
      </c>
      <c r="B9" s="14">
        <v>1</v>
      </c>
      <c r="C9" s="14">
        <v>2</v>
      </c>
      <c r="D9" s="14">
        <v>3</v>
      </c>
      <c r="E9" s="14">
        <v>4</v>
      </c>
      <c r="I9" s="14"/>
      <c r="J9" s="7"/>
    </row>
    <row r="10" spans="1:11" x14ac:dyDescent="0.25">
      <c r="A10" t="s">
        <v>106</v>
      </c>
      <c r="B10" s="21">
        <v>1</v>
      </c>
      <c r="C10" s="21">
        <v>1</v>
      </c>
      <c r="D10" s="21">
        <v>1</v>
      </c>
      <c r="E10" s="21">
        <v>1</v>
      </c>
      <c r="I10" s="14">
        <v>3</v>
      </c>
      <c r="J10" s="7" t="s">
        <v>117</v>
      </c>
      <c r="K10" s="26" t="s">
        <v>114</v>
      </c>
    </row>
    <row r="11" spans="1:11" x14ac:dyDescent="0.25">
      <c r="A11" t="s">
        <v>107</v>
      </c>
      <c r="B11">
        <v>60</v>
      </c>
      <c r="C11">
        <v>86</v>
      </c>
      <c r="D11">
        <v>115</v>
      </c>
      <c r="E11">
        <v>250</v>
      </c>
      <c r="I11" s="14"/>
      <c r="J11" s="7"/>
    </row>
    <row r="12" spans="1:11" x14ac:dyDescent="0.25">
      <c r="A12" t="s">
        <v>111</v>
      </c>
      <c r="B12">
        <v>12</v>
      </c>
      <c r="C12">
        <v>12</v>
      </c>
      <c r="D12">
        <v>12</v>
      </c>
      <c r="E12">
        <v>12</v>
      </c>
      <c r="I12" s="14">
        <v>4</v>
      </c>
      <c r="J12" s="7" t="s">
        <v>118</v>
      </c>
      <c r="K12" s="26" t="s">
        <v>115</v>
      </c>
    </row>
    <row r="13" spans="1:11" x14ac:dyDescent="0.25">
      <c r="A13" t="s">
        <v>109</v>
      </c>
      <c r="B13" s="2">
        <f>$B$7/($B$4*B10)</f>
        <v>2995.7462080651426</v>
      </c>
      <c r="C13" s="2">
        <f t="shared" ref="C13:D13" si="0">$B$7/($B$4*C10)</f>
        <v>2995.7462080651426</v>
      </c>
      <c r="D13" s="2">
        <f t="shared" si="0"/>
        <v>2995.7462080651426</v>
      </c>
      <c r="E13" s="2">
        <f>$B$7/($B$4*E10)</f>
        <v>2995.7462080651426</v>
      </c>
      <c r="I13" s="14"/>
    </row>
    <row r="14" spans="1:11" x14ac:dyDescent="0.25">
      <c r="A14" t="s">
        <v>108</v>
      </c>
      <c r="B14">
        <f>B13/B11</f>
        <v>49.929103467752377</v>
      </c>
      <c r="C14">
        <f>C13/C11</f>
        <v>34.834258233315609</v>
      </c>
      <c r="D14">
        <f>D13/D11</f>
        <v>26.049967026653412</v>
      </c>
      <c r="E14">
        <f>E13/E11</f>
        <v>11.98298483226057</v>
      </c>
    </row>
    <row r="15" spans="1:11" x14ac:dyDescent="0.25">
      <c r="B15" s="7">
        <f>ROUNDUP(B14,0)</f>
        <v>50</v>
      </c>
      <c r="C15" s="7">
        <f>ROUNDUP(C14,0)</f>
        <v>35</v>
      </c>
      <c r="D15" s="7">
        <f>ROUNDUP(D14,0)</f>
        <v>27</v>
      </c>
      <c r="E15" s="7">
        <f>ROUNDUP(E14,0)</f>
        <v>12</v>
      </c>
    </row>
    <row r="16" spans="1:11" x14ac:dyDescent="0.25">
      <c r="A16" t="s">
        <v>112</v>
      </c>
      <c r="B16">
        <v>151.4</v>
      </c>
      <c r="C16">
        <v>155.19999999999999</v>
      </c>
      <c r="D16">
        <v>166.5</v>
      </c>
      <c r="E16">
        <v>331.2</v>
      </c>
    </row>
    <row r="17" spans="1:5" x14ac:dyDescent="0.25">
      <c r="A17" t="s">
        <v>101</v>
      </c>
      <c r="B17">
        <f>B16*B15</f>
        <v>7570</v>
      </c>
      <c r="C17">
        <f>C16*C15</f>
        <v>5432</v>
      </c>
      <c r="D17">
        <f>D16*D15</f>
        <v>4495.5</v>
      </c>
      <c r="E17">
        <f>E16*E15</f>
        <v>3974.3999999999996</v>
      </c>
    </row>
  </sheetData>
  <mergeCells count="1">
    <mergeCell ref="A2:D2"/>
  </mergeCells>
  <hyperlinks>
    <hyperlink ref="K6" r:id="rId1"/>
    <hyperlink ref="K8" r:id="rId2"/>
    <hyperlink ref="K10" r:id="rId3"/>
    <hyperlink ref="K12" r:id="rId4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topLeftCell="C1" workbookViewId="0">
      <selection activeCell="L18" sqref="L18"/>
    </sheetView>
  </sheetViews>
  <sheetFormatPr baseColWidth="10" defaultRowHeight="15" x14ac:dyDescent="0.25"/>
  <cols>
    <col min="1" max="1" width="8.42578125" customWidth="1"/>
    <col min="3" max="3" width="22.28515625" customWidth="1"/>
    <col min="5" max="6" width="13.85546875" customWidth="1"/>
    <col min="12" max="12" width="17" customWidth="1"/>
  </cols>
  <sheetData>
    <row r="2" spans="1:17" x14ac:dyDescent="0.25">
      <c r="A2" s="172" t="s">
        <v>196</v>
      </c>
      <c r="B2" s="172"/>
      <c r="C2" s="172"/>
      <c r="D2" s="172"/>
      <c r="E2" s="172"/>
      <c r="F2" s="172"/>
      <c r="G2" s="172"/>
      <c r="H2" s="172"/>
      <c r="J2" s="172" t="s">
        <v>197</v>
      </c>
      <c r="K2" s="172"/>
      <c r="L2" s="172"/>
      <c r="M2" s="172"/>
      <c r="N2" s="172"/>
      <c r="O2" s="172"/>
      <c r="P2" s="172"/>
    </row>
    <row r="3" spans="1:17" ht="15.75" x14ac:dyDescent="0.25">
      <c r="A3" s="39"/>
      <c r="B3" s="173" t="s">
        <v>137</v>
      </c>
      <c r="C3" s="174"/>
      <c r="D3" s="175" t="s">
        <v>26</v>
      </c>
      <c r="E3" s="177" t="s">
        <v>151</v>
      </c>
      <c r="F3" s="178"/>
      <c r="G3" s="179" t="s">
        <v>85</v>
      </c>
      <c r="H3" s="180"/>
      <c r="I3" s="65"/>
      <c r="J3" s="39"/>
      <c r="K3" s="173" t="s">
        <v>137</v>
      </c>
      <c r="L3" s="174"/>
      <c r="M3" s="175" t="s">
        <v>26</v>
      </c>
      <c r="N3" s="177" t="s">
        <v>151</v>
      </c>
      <c r="O3" s="178"/>
      <c r="P3" s="179" t="s">
        <v>85</v>
      </c>
      <c r="Q3" s="180"/>
    </row>
    <row r="4" spans="1:17" x14ac:dyDescent="0.25">
      <c r="A4" s="32"/>
      <c r="B4" s="46"/>
      <c r="C4" s="45" t="s">
        <v>138</v>
      </c>
      <c r="D4" s="176"/>
      <c r="E4" s="53" t="s">
        <v>152</v>
      </c>
      <c r="F4" s="52" t="s">
        <v>153</v>
      </c>
      <c r="G4" s="68" t="s">
        <v>155</v>
      </c>
      <c r="H4" s="69" t="s">
        <v>156</v>
      </c>
      <c r="J4" s="32"/>
      <c r="K4" s="46"/>
      <c r="L4" s="45" t="s">
        <v>138</v>
      </c>
      <c r="M4" s="176"/>
      <c r="N4" s="53" t="s">
        <v>152</v>
      </c>
      <c r="O4" s="52" t="s">
        <v>153</v>
      </c>
      <c r="P4" s="68" t="s">
        <v>155</v>
      </c>
      <c r="Q4" s="69" t="s">
        <v>156</v>
      </c>
    </row>
    <row r="5" spans="1:17" x14ac:dyDescent="0.25">
      <c r="A5" s="169" t="s">
        <v>149</v>
      </c>
      <c r="B5" s="47" t="s">
        <v>139</v>
      </c>
      <c r="C5" s="48" t="s">
        <v>135</v>
      </c>
      <c r="D5" s="50">
        <v>19</v>
      </c>
      <c r="E5" s="57"/>
      <c r="F5" s="60"/>
      <c r="G5" s="66">
        <v>1.627</v>
      </c>
      <c r="H5" s="31">
        <f>G5*D5</f>
        <v>30.913</v>
      </c>
      <c r="J5" s="169" t="s">
        <v>149</v>
      </c>
      <c r="K5" s="47" t="s">
        <v>139</v>
      </c>
      <c r="L5" s="48" t="s">
        <v>135</v>
      </c>
      <c r="M5" s="50">
        <v>30</v>
      </c>
      <c r="N5" s="57"/>
      <c r="O5" s="60"/>
      <c r="P5" s="66">
        <v>1.627</v>
      </c>
      <c r="Q5" s="31">
        <f>P5*M5</f>
        <v>48.81</v>
      </c>
    </row>
    <row r="6" spans="1:17" x14ac:dyDescent="0.25">
      <c r="A6" s="170"/>
      <c r="B6" s="47" t="s">
        <v>140</v>
      </c>
      <c r="C6" s="48"/>
      <c r="D6" s="50">
        <v>32</v>
      </c>
      <c r="E6" s="57">
        <v>197</v>
      </c>
      <c r="F6" s="60">
        <f>D6*E6</f>
        <v>6304</v>
      </c>
      <c r="G6" s="66">
        <v>0.97299999999999998</v>
      </c>
      <c r="H6" s="31">
        <f t="shared" ref="H6:H10" si="0">G6*D6</f>
        <v>31.135999999999999</v>
      </c>
      <c r="J6" s="170"/>
      <c r="K6" s="47" t="s">
        <v>140</v>
      </c>
      <c r="L6" s="48"/>
      <c r="M6" s="50">
        <v>49</v>
      </c>
      <c r="N6" s="57">
        <v>197</v>
      </c>
      <c r="O6" s="60">
        <f>M6*N6</f>
        <v>9653</v>
      </c>
      <c r="P6" s="66">
        <v>0.97299999999999998</v>
      </c>
      <c r="Q6" s="31">
        <f t="shared" ref="Q6:Q10" si="1">P6*M6</f>
        <v>47.677</v>
      </c>
    </row>
    <row r="7" spans="1:17" x14ac:dyDescent="0.25">
      <c r="A7" s="170"/>
      <c r="B7" s="47" t="s">
        <v>141</v>
      </c>
      <c r="C7" s="48"/>
      <c r="D7" s="50">
        <v>59</v>
      </c>
      <c r="E7" s="57">
        <v>169</v>
      </c>
      <c r="F7" s="60">
        <f t="shared" ref="F7:F10" si="2">D7*E7</f>
        <v>9971</v>
      </c>
      <c r="G7" s="66">
        <v>0.65100000000000002</v>
      </c>
      <c r="H7" s="31">
        <f t="shared" si="0"/>
        <v>38.408999999999999</v>
      </c>
      <c r="J7" s="170"/>
      <c r="K7" s="47" t="s">
        <v>141</v>
      </c>
      <c r="L7" s="48"/>
      <c r="M7" s="50">
        <v>95</v>
      </c>
      <c r="N7" s="57">
        <v>169</v>
      </c>
      <c r="O7" s="60">
        <f t="shared" ref="O7:O10" si="3">M7*N7</f>
        <v>16055</v>
      </c>
      <c r="P7" s="66">
        <v>0.65100000000000002</v>
      </c>
      <c r="Q7" s="31">
        <f t="shared" si="1"/>
        <v>61.844999999999999</v>
      </c>
    </row>
    <row r="8" spans="1:17" x14ac:dyDescent="0.25">
      <c r="A8" s="170"/>
      <c r="B8" s="47" t="s">
        <v>142</v>
      </c>
      <c r="C8" s="48"/>
      <c r="D8" s="50">
        <v>24</v>
      </c>
      <c r="E8" s="57">
        <v>190</v>
      </c>
      <c r="F8" s="60">
        <f t="shared" si="2"/>
        <v>4560</v>
      </c>
      <c r="G8" s="66">
        <v>1.3109999999999999</v>
      </c>
      <c r="H8" s="31">
        <f t="shared" si="0"/>
        <v>31.463999999999999</v>
      </c>
      <c r="J8" s="170"/>
      <c r="K8" s="47" t="s">
        <v>142</v>
      </c>
      <c r="L8" s="48"/>
      <c r="M8" s="50">
        <v>37</v>
      </c>
      <c r="N8" s="57">
        <v>190</v>
      </c>
      <c r="O8" s="60">
        <f t="shared" si="3"/>
        <v>7030</v>
      </c>
      <c r="P8" s="66">
        <v>1.3109999999999999</v>
      </c>
      <c r="Q8" s="31">
        <f t="shared" si="1"/>
        <v>48.506999999999998</v>
      </c>
    </row>
    <row r="9" spans="1:17" x14ac:dyDescent="0.25">
      <c r="A9" s="170"/>
      <c r="B9" s="47" t="s">
        <v>143</v>
      </c>
      <c r="C9" s="48"/>
      <c r="D9" s="50">
        <v>24</v>
      </c>
      <c r="E9" s="57">
        <v>182</v>
      </c>
      <c r="F9" s="60">
        <f t="shared" si="2"/>
        <v>4368</v>
      </c>
      <c r="G9" s="66">
        <v>1.4750000000000001</v>
      </c>
      <c r="H9" s="31">
        <f t="shared" si="0"/>
        <v>35.400000000000006</v>
      </c>
      <c r="J9" s="170"/>
      <c r="K9" s="47" t="s">
        <v>143</v>
      </c>
      <c r="L9" s="48"/>
      <c r="M9" s="50">
        <v>38</v>
      </c>
      <c r="N9" s="57">
        <v>182</v>
      </c>
      <c r="O9" s="60">
        <f t="shared" si="3"/>
        <v>6916</v>
      </c>
      <c r="P9" s="66">
        <v>1.4750000000000001</v>
      </c>
      <c r="Q9" s="31">
        <f t="shared" si="1"/>
        <v>56.050000000000004</v>
      </c>
    </row>
    <row r="10" spans="1:17" x14ac:dyDescent="0.25">
      <c r="A10" s="171"/>
      <c r="B10" s="6" t="s">
        <v>144</v>
      </c>
      <c r="C10" s="49"/>
      <c r="D10" s="51">
        <v>15</v>
      </c>
      <c r="E10" s="58">
        <v>238</v>
      </c>
      <c r="F10" s="60">
        <f t="shared" si="2"/>
        <v>3570</v>
      </c>
      <c r="G10" s="67">
        <v>1.94</v>
      </c>
      <c r="H10" s="31">
        <f t="shared" si="0"/>
        <v>29.099999999999998</v>
      </c>
      <c r="J10" s="171"/>
      <c r="K10" s="6" t="s">
        <v>144</v>
      </c>
      <c r="L10" s="49"/>
      <c r="M10" s="51">
        <v>23</v>
      </c>
      <c r="N10" s="58">
        <v>238</v>
      </c>
      <c r="O10" s="60">
        <f t="shared" si="3"/>
        <v>5474</v>
      </c>
      <c r="P10" s="67">
        <v>1.94</v>
      </c>
      <c r="Q10" s="31">
        <f t="shared" si="1"/>
        <v>44.62</v>
      </c>
    </row>
    <row r="11" spans="1:17" ht="5.25" customHeight="1" x14ac:dyDescent="0.25">
      <c r="A11" s="42"/>
      <c r="B11" s="37"/>
      <c r="C11" s="38"/>
      <c r="D11" s="42"/>
      <c r="E11" s="59"/>
      <c r="F11" s="61"/>
      <c r="G11" s="40"/>
      <c r="H11" s="37"/>
      <c r="I11" s="65"/>
    </row>
    <row r="12" spans="1:17" x14ac:dyDescent="0.25">
      <c r="A12" s="181" t="s">
        <v>150</v>
      </c>
      <c r="B12" s="54" t="s">
        <v>145</v>
      </c>
      <c r="C12" s="48"/>
      <c r="D12" s="50">
        <v>50</v>
      </c>
      <c r="E12" s="57">
        <v>151.4</v>
      </c>
      <c r="F12" s="57">
        <f>D12*E12</f>
        <v>7570</v>
      </c>
      <c r="J12" s="169" t="s">
        <v>150</v>
      </c>
      <c r="K12" s="54" t="s">
        <v>145</v>
      </c>
      <c r="L12" s="115"/>
      <c r="M12" s="116">
        <v>50</v>
      </c>
      <c r="N12" s="117">
        <v>151.4</v>
      </c>
      <c r="O12" s="117">
        <f>M12*N12</f>
        <v>7570</v>
      </c>
    </row>
    <row r="13" spans="1:17" x14ac:dyDescent="0.25">
      <c r="A13" s="182"/>
      <c r="B13" s="55" t="s">
        <v>146</v>
      </c>
      <c r="C13" s="48"/>
      <c r="D13" s="50">
        <v>35</v>
      </c>
      <c r="E13" s="57">
        <v>155.19999999999999</v>
      </c>
      <c r="F13" s="57">
        <f t="shared" ref="F13:F15" si="4">D13*E13</f>
        <v>5432</v>
      </c>
      <c r="J13" s="170"/>
      <c r="K13" s="55" t="s">
        <v>146</v>
      </c>
      <c r="L13" s="48"/>
      <c r="M13" s="50">
        <v>35</v>
      </c>
      <c r="N13" s="57">
        <v>155.19999999999999</v>
      </c>
      <c r="O13" s="57">
        <f t="shared" ref="O13:O15" si="5">M13*N13</f>
        <v>5432</v>
      </c>
    </row>
    <row r="14" spans="1:17" x14ac:dyDescent="0.25">
      <c r="A14" s="182"/>
      <c r="B14" s="55" t="s">
        <v>147</v>
      </c>
      <c r="C14" s="48"/>
      <c r="D14" s="50">
        <v>27</v>
      </c>
      <c r="E14" s="57">
        <v>166.5</v>
      </c>
      <c r="F14" s="57">
        <f t="shared" si="4"/>
        <v>4495.5</v>
      </c>
      <c r="J14" s="170"/>
      <c r="K14" s="55" t="s">
        <v>147</v>
      </c>
      <c r="L14" s="48"/>
      <c r="M14" s="50">
        <v>27</v>
      </c>
      <c r="N14" s="57">
        <v>166.5</v>
      </c>
      <c r="O14" s="57">
        <f t="shared" si="5"/>
        <v>4495.5</v>
      </c>
    </row>
    <row r="15" spans="1:17" x14ac:dyDescent="0.25">
      <c r="A15" s="183"/>
      <c r="B15" s="56" t="s">
        <v>148</v>
      </c>
      <c r="C15" s="48"/>
      <c r="D15" s="50">
        <v>12</v>
      </c>
      <c r="E15" s="57">
        <v>331.2</v>
      </c>
      <c r="F15" s="57">
        <f t="shared" si="4"/>
        <v>3974.3999999999996</v>
      </c>
      <c r="J15" s="171"/>
      <c r="K15" s="56" t="s">
        <v>148</v>
      </c>
      <c r="L15" s="49"/>
      <c r="M15" s="51">
        <v>12</v>
      </c>
      <c r="N15" s="58">
        <v>331.2</v>
      </c>
      <c r="O15" s="58">
        <f t="shared" si="5"/>
        <v>3974.3999999999996</v>
      </c>
    </row>
    <row r="16" spans="1:17" ht="6" customHeight="1" x14ac:dyDescent="0.25">
      <c r="A16" s="38"/>
      <c r="B16" s="37"/>
      <c r="C16" s="38"/>
      <c r="D16" s="42"/>
      <c r="E16" s="42"/>
      <c r="F16" s="38"/>
    </row>
    <row r="17" spans="1:6" x14ac:dyDescent="0.25">
      <c r="A17" s="32"/>
      <c r="C17" s="32"/>
      <c r="D17" s="43"/>
      <c r="E17" s="43"/>
      <c r="F17" s="32"/>
    </row>
    <row r="18" spans="1:6" x14ac:dyDescent="0.25">
      <c r="A18" s="32"/>
      <c r="C18" s="32"/>
      <c r="D18" s="43"/>
      <c r="F18" s="32"/>
    </row>
    <row r="20" spans="1:6" x14ac:dyDescent="0.25">
      <c r="C20" s="35"/>
    </row>
  </sheetData>
  <mergeCells count="14">
    <mergeCell ref="J12:J15"/>
    <mergeCell ref="A2:H2"/>
    <mergeCell ref="J2:P2"/>
    <mergeCell ref="K3:L3"/>
    <mergeCell ref="M3:M4"/>
    <mergeCell ref="N3:O3"/>
    <mergeCell ref="P3:Q3"/>
    <mergeCell ref="J5:J10"/>
    <mergeCell ref="G3:H3"/>
    <mergeCell ref="A5:A10"/>
    <mergeCell ref="A12:A15"/>
    <mergeCell ref="E3:F3"/>
    <mergeCell ref="B3:C3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topLeftCell="D1" workbookViewId="0">
      <selection activeCell="F50" sqref="F50:L52"/>
    </sheetView>
  </sheetViews>
  <sheetFormatPr baseColWidth="10" defaultRowHeight="15" x14ac:dyDescent="0.25"/>
  <cols>
    <col min="1" max="1" width="13.7109375" customWidth="1"/>
    <col min="4" max="4" width="9.28515625" customWidth="1"/>
    <col min="5" max="5" width="12.5703125" customWidth="1"/>
    <col min="6" max="6" width="29.140625" customWidth="1"/>
    <col min="7" max="7" width="13.28515625" customWidth="1"/>
    <col min="8" max="8" width="12.42578125" customWidth="1"/>
    <col min="9" max="9" width="13.42578125" bestFit="1" customWidth="1"/>
    <col min="10" max="10" width="12.42578125" customWidth="1"/>
    <col min="11" max="11" width="12" customWidth="1"/>
    <col min="12" max="12" width="12.5703125" customWidth="1"/>
    <col min="13" max="13" width="7" customWidth="1"/>
    <col min="14" max="14" width="7.28515625" customWidth="1"/>
    <col min="15" max="16" width="8.7109375" customWidth="1"/>
    <col min="17" max="17" width="4" customWidth="1"/>
    <col min="18" max="19" width="8.7109375" customWidth="1"/>
    <col min="20" max="20" width="4" customWidth="1"/>
    <col min="21" max="21" width="5.85546875" customWidth="1"/>
    <col min="22" max="22" width="7.28515625" customWidth="1"/>
    <col min="23" max="24" width="10" customWidth="1"/>
  </cols>
  <sheetData>
    <row r="1" spans="1:8" x14ac:dyDescent="0.25">
      <c r="B1" t="s">
        <v>85</v>
      </c>
      <c r="E1" t="s">
        <v>163</v>
      </c>
    </row>
    <row r="2" spans="1:8" x14ac:dyDescent="0.25">
      <c r="A2" t="s">
        <v>158</v>
      </c>
      <c r="B2">
        <v>43</v>
      </c>
      <c r="E2">
        <v>105</v>
      </c>
    </row>
    <row r="3" spans="1:8" x14ac:dyDescent="0.25">
      <c r="A3" t="s">
        <v>159</v>
      </c>
      <c r="B3">
        <v>50</v>
      </c>
      <c r="E3">
        <v>-75</v>
      </c>
    </row>
    <row r="4" spans="1:8" x14ac:dyDescent="0.25">
      <c r="A4" s="26" t="s">
        <v>160</v>
      </c>
      <c r="E4" s="70" t="s">
        <v>164</v>
      </c>
    </row>
    <row r="13" spans="1:8" x14ac:dyDescent="0.25">
      <c r="E13" t="s">
        <v>161</v>
      </c>
      <c r="F13" t="s">
        <v>162</v>
      </c>
    </row>
    <row r="16" spans="1:8" ht="17.25" x14ac:dyDescent="0.25">
      <c r="A16" s="165" t="s">
        <v>167</v>
      </c>
      <c r="B16" s="165"/>
      <c r="C16" s="165"/>
      <c r="F16" s="165" t="s">
        <v>168</v>
      </c>
      <c r="G16" s="165"/>
      <c r="H16" s="165"/>
    </row>
    <row r="17" spans="1:17" x14ac:dyDescent="0.25">
      <c r="A17" s="187" t="s">
        <v>52</v>
      </c>
      <c r="B17" s="189" t="s">
        <v>183</v>
      </c>
      <c r="C17" s="189"/>
      <c r="F17" t="s">
        <v>91</v>
      </c>
      <c r="G17">
        <f>C30/1000</f>
        <v>1.43</v>
      </c>
      <c r="H17" t="s">
        <v>170</v>
      </c>
    </row>
    <row r="18" spans="1:17" x14ac:dyDescent="0.25">
      <c r="A18" s="188"/>
      <c r="B18" s="6" t="s">
        <v>165</v>
      </c>
      <c r="C18" s="6" t="s">
        <v>166</v>
      </c>
      <c r="F18" t="s">
        <v>169</v>
      </c>
      <c r="G18">
        <f>Paneles!$I$18/($G$19*'Tejado casa existente'!G17)</f>
        <v>6983.0913940912424</v>
      </c>
      <c r="H18" t="s">
        <v>97</v>
      </c>
    </row>
    <row r="19" spans="1:17" x14ac:dyDescent="0.25">
      <c r="A19" t="s">
        <v>57</v>
      </c>
      <c r="B19">
        <v>1230</v>
      </c>
      <c r="C19" s="11">
        <v>1550</v>
      </c>
      <c r="F19" t="s">
        <v>172</v>
      </c>
      <c r="G19">
        <v>0.9</v>
      </c>
    </row>
    <row r="20" spans="1:17" x14ac:dyDescent="0.25">
      <c r="A20" t="s">
        <v>58</v>
      </c>
      <c r="B20">
        <v>1850</v>
      </c>
      <c r="C20" s="11">
        <v>2220</v>
      </c>
      <c r="F20" s="40" t="s">
        <v>171</v>
      </c>
      <c r="G20" s="83">
        <v>1</v>
      </c>
      <c r="H20" s="84">
        <v>2</v>
      </c>
      <c r="I20" s="84">
        <v>3</v>
      </c>
      <c r="J20" s="84">
        <v>4</v>
      </c>
      <c r="K20" s="84">
        <v>5</v>
      </c>
      <c r="L20" s="85">
        <v>6</v>
      </c>
    </row>
    <row r="21" spans="1:17" x14ac:dyDescent="0.25">
      <c r="A21" t="s">
        <v>59</v>
      </c>
      <c r="B21">
        <v>3250</v>
      </c>
      <c r="C21" s="11">
        <v>3710</v>
      </c>
      <c r="F21" s="71" t="s">
        <v>71</v>
      </c>
      <c r="G21" s="35" t="s">
        <v>119</v>
      </c>
      <c r="H21" s="35" t="s">
        <v>119</v>
      </c>
      <c r="I21" s="35" t="s">
        <v>120</v>
      </c>
      <c r="J21" s="35" t="s">
        <v>119</v>
      </c>
      <c r="K21" s="35" t="s">
        <v>119</v>
      </c>
      <c r="L21" s="32" t="s">
        <v>119</v>
      </c>
    </row>
    <row r="22" spans="1:17" x14ac:dyDescent="0.25">
      <c r="A22" t="s">
        <v>60</v>
      </c>
      <c r="B22">
        <v>4030</v>
      </c>
      <c r="C22" s="11">
        <v>4310</v>
      </c>
      <c r="F22" s="71" t="s">
        <v>72</v>
      </c>
      <c r="G22" s="72">
        <v>250</v>
      </c>
      <c r="H22" s="72">
        <v>150</v>
      </c>
      <c r="I22" s="72">
        <v>80</v>
      </c>
      <c r="J22" s="72">
        <v>200</v>
      </c>
      <c r="K22" s="72">
        <v>200</v>
      </c>
      <c r="L22" s="73">
        <v>320</v>
      </c>
    </row>
    <row r="23" spans="1:17" x14ac:dyDescent="0.25">
      <c r="A23" t="s">
        <v>61</v>
      </c>
      <c r="B23">
        <v>4870</v>
      </c>
      <c r="C23" s="11">
        <v>5060</v>
      </c>
      <c r="F23" s="71" t="s">
        <v>74</v>
      </c>
      <c r="G23" s="72">
        <v>24</v>
      </c>
      <c r="H23" s="72">
        <v>12</v>
      </c>
      <c r="I23" s="72">
        <v>12</v>
      </c>
      <c r="J23" s="72">
        <v>12</v>
      </c>
      <c r="K23" s="72">
        <v>24</v>
      </c>
      <c r="L23" s="73">
        <v>24</v>
      </c>
    </row>
    <row r="24" spans="1:17" x14ac:dyDescent="0.25">
      <c r="A24" t="s">
        <v>62</v>
      </c>
      <c r="B24">
        <v>5380</v>
      </c>
      <c r="C24" s="11">
        <v>5500</v>
      </c>
      <c r="F24" s="71" t="s">
        <v>93</v>
      </c>
      <c r="G24" s="35">
        <f>$G$17*$G$19*G22</f>
        <v>321.75</v>
      </c>
      <c r="H24" s="35">
        <f t="shared" ref="H24:L24" si="0">$G$17*$G$19*H22</f>
        <v>193.04999999999998</v>
      </c>
      <c r="I24" s="35">
        <f t="shared" si="0"/>
        <v>102.96</v>
      </c>
      <c r="J24" s="35">
        <f t="shared" si="0"/>
        <v>257.39999999999998</v>
      </c>
      <c r="K24" s="35">
        <f t="shared" si="0"/>
        <v>257.39999999999998</v>
      </c>
      <c r="L24" s="32">
        <f t="shared" si="0"/>
        <v>411.84</v>
      </c>
    </row>
    <row r="25" spans="1:17" x14ac:dyDescent="0.25">
      <c r="A25" t="s">
        <v>63</v>
      </c>
      <c r="B25">
        <v>5630</v>
      </c>
      <c r="C25" s="11">
        <v>5810</v>
      </c>
      <c r="F25" s="74" t="s">
        <v>85</v>
      </c>
      <c r="G25" s="35">
        <v>1.627</v>
      </c>
      <c r="H25" s="35">
        <v>0.97299999999999998</v>
      </c>
      <c r="I25" s="35">
        <v>0.65100000000000002</v>
      </c>
      <c r="J25" s="35">
        <v>1.3109999999999999</v>
      </c>
      <c r="K25" s="35">
        <v>1.4750000000000001</v>
      </c>
      <c r="L25" s="75">
        <v>1.94</v>
      </c>
    </row>
    <row r="26" spans="1:17" x14ac:dyDescent="0.25">
      <c r="A26" t="s">
        <v>64</v>
      </c>
      <c r="B26">
        <v>4770</v>
      </c>
      <c r="C26" s="11">
        <v>5080</v>
      </c>
      <c r="F26" s="74" t="s">
        <v>81</v>
      </c>
      <c r="G26" s="76" t="s">
        <v>99</v>
      </c>
      <c r="H26" s="77">
        <v>197</v>
      </c>
      <c r="I26" s="77">
        <v>169</v>
      </c>
      <c r="J26" s="77">
        <v>190</v>
      </c>
      <c r="K26" s="77">
        <v>182</v>
      </c>
      <c r="L26" s="78">
        <v>238</v>
      </c>
    </row>
    <row r="27" spans="1:17" x14ac:dyDescent="0.25">
      <c r="A27" t="s">
        <v>65</v>
      </c>
      <c r="B27">
        <v>3740</v>
      </c>
      <c r="C27" s="11">
        <v>4230</v>
      </c>
      <c r="F27" s="74" t="s">
        <v>95</v>
      </c>
      <c r="G27" s="35">
        <f>G24/G23</f>
        <v>13.40625</v>
      </c>
      <c r="H27" s="35">
        <f t="shared" ref="H27:L27" si="1">H24/H23</f>
        <v>16.087499999999999</v>
      </c>
      <c r="I27" s="35">
        <f t="shared" si="1"/>
        <v>8.58</v>
      </c>
      <c r="J27" s="35">
        <f t="shared" si="1"/>
        <v>21.45</v>
      </c>
      <c r="K27" s="35">
        <f t="shared" si="1"/>
        <v>10.725</v>
      </c>
      <c r="L27" s="32">
        <f t="shared" si="1"/>
        <v>17.16</v>
      </c>
    </row>
    <row r="28" spans="1:17" x14ac:dyDescent="0.25">
      <c r="A28" t="s">
        <v>66</v>
      </c>
      <c r="B28">
        <v>2480</v>
      </c>
      <c r="C28" s="11">
        <v>2960</v>
      </c>
      <c r="F28" s="74" t="s">
        <v>98</v>
      </c>
      <c r="G28" s="86">
        <f>Paneles!$I$18/'Tejado casa existente'!G24</f>
        <v>27.932365576364969</v>
      </c>
      <c r="H28" s="86">
        <f>Paneles!$I$18/'Tejado casa existente'!H24</f>
        <v>46.553942627274949</v>
      </c>
      <c r="I28" s="86">
        <f>Paneles!$I$18/'Tejado casa existente'!I24</f>
        <v>87.288642426140527</v>
      </c>
      <c r="J28" s="86">
        <f>Paneles!$I$18/'Tejado casa existente'!J24</f>
        <v>34.915456970456212</v>
      </c>
      <c r="K28" s="86">
        <f>Paneles!$I$18/'Tejado casa existente'!K24</f>
        <v>34.915456970456212</v>
      </c>
      <c r="L28" s="87">
        <f>Paneles!$I$18/'Tejado casa existente'!L24</f>
        <v>21.822160606535132</v>
      </c>
    </row>
    <row r="29" spans="1:17" x14ac:dyDescent="0.25">
      <c r="A29" t="s">
        <v>67</v>
      </c>
      <c r="B29">
        <v>1360</v>
      </c>
      <c r="C29" s="11">
        <v>1660</v>
      </c>
      <c r="F29" s="43"/>
      <c r="G29" s="79">
        <f>ROUNDUP(G28,0)</f>
        <v>28</v>
      </c>
      <c r="H29" s="79">
        <f t="shared" ref="H29:L29" si="2">ROUNDUP(H28,0)</f>
        <v>47</v>
      </c>
      <c r="I29" s="79">
        <f t="shared" si="2"/>
        <v>88</v>
      </c>
      <c r="J29" s="79">
        <f t="shared" si="2"/>
        <v>35</v>
      </c>
      <c r="K29" s="79">
        <f t="shared" si="2"/>
        <v>35</v>
      </c>
      <c r="L29" s="80">
        <f t="shared" si="2"/>
        <v>22</v>
      </c>
    </row>
    <row r="30" spans="1:17" x14ac:dyDescent="0.25">
      <c r="A30" t="s">
        <v>68</v>
      </c>
      <c r="B30">
        <v>1110</v>
      </c>
      <c r="C30" s="11">
        <v>1430</v>
      </c>
      <c r="F30" s="43" t="s">
        <v>100</v>
      </c>
      <c r="G30" s="35">
        <f>G25*G29</f>
        <v>45.555999999999997</v>
      </c>
      <c r="H30" s="35">
        <f t="shared" ref="H30:L30" si="3">H25*H29</f>
        <v>45.731000000000002</v>
      </c>
      <c r="I30" s="35">
        <f t="shared" si="3"/>
        <v>57.288000000000004</v>
      </c>
      <c r="J30" s="35">
        <f t="shared" si="3"/>
        <v>45.884999999999998</v>
      </c>
      <c r="K30" s="35">
        <f t="shared" si="3"/>
        <v>51.625</v>
      </c>
      <c r="L30" s="32">
        <f t="shared" si="3"/>
        <v>42.68</v>
      </c>
    </row>
    <row r="31" spans="1:17" x14ac:dyDescent="0.25">
      <c r="F31" s="44" t="s">
        <v>101</v>
      </c>
      <c r="G31" s="36" t="e">
        <f>G26*G29</f>
        <v>#VALUE!</v>
      </c>
      <c r="H31" s="81">
        <f t="shared" ref="H31:L31" si="4">H26*H29</f>
        <v>9259</v>
      </c>
      <c r="I31" s="81">
        <f t="shared" si="4"/>
        <v>14872</v>
      </c>
      <c r="J31" s="81">
        <f t="shared" si="4"/>
        <v>6650</v>
      </c>
      <c r="K31" s="81">
        <f t="shared" si="4"/>
        <v>6370</v>
      </c>
      <c r="L31" s="82">
        <f t="shared" si="4"/>
        <v>5236</v>
      </c>
      <c r="O31" t="s">
        <v>47</v>
      </c>
      <c r="P31">
        <v>8987.2386241954282</v>
      </c>
      <c r="Q31" t="s">
        <v>28</v>
      </c>
    </row>
    <row r="32" spans="1:17" x14ac:dyDescent="0.25">
      <c r="A32" s="15" t="s">
        <v>173</v>
      </c>
      <c r="F32" t="s">
        <v>175</v>
      </c>
      <c r="G32" s="2">
        <f t="shared" ref="G32:L32" si="5">$B$33/G25</f>
        <v>24.585125998770742</v>
      </c>
      <c r="H32" s="2">
        <f t="shared" si="5"/>
        <v>41.109969167523126</v>
      </c>
      <c r="I32" s="2">
        <f t="shared" si="5"/>
        <v>61.443932411674346</v>
      </c>
      <c r="J32" s="2">
        <f t="shared" si="5"/>
        <v>30.511060259344013</v>
      </c>
      <c r="K32" s="2">
        <f t="shared" si="5"/>
        <v>27.118644067796609</v>
      </c>
      <c r="L32" s="2">
        <f t="shared" si="5"/>
        <v>20.618556701030929</v>
      </c>
    </row>
    <row r="33" spans="1:12" x14ac:dyDescent="0.25">
      <c r="A33" t="s">
        <v>174</v>
      </c>
      <c r="B33">
        <f>0.8*B3</f>
        <v>40</v>
      </c>
      <c r="C33" t="s">
        <v>180</v>
      </c>
      <c r="G33" s="7">
        <f>ROUNDDOWN(G32,0)</f>
        <v>24</v>
      </c>
      <c r="H33" s="7">
        <f t="shared" ref="H33:L33" si="6">ROUNDDOWN(H32,0)</f>
        <v>41</v>
      </c>
      <c r="I33" s="7">
        <f t="shared" si="6"/>
        <v>61</v>
      </c>
      <c r="J33" s="7">
        <f t="shared" si="6"/>
        <v>30</v>
      </c>
      <c r="K33" s="7">
        <f t="shared" si="6"/>
        <v>27</v>
      </c>
      <c r="L33" s="7">
        <f t="shared" si="6"/>
        <v>20</v>
      </c>
    </row>
    <row r="34" spans="1:12" x14ac:dyDescent="0.25">
      <c r="F34" t="s">
        <v>176</v>
      </c>
      <c r="G34">
        <f t="shared" ref="G34:L34" si="7">G33*G24</f>
        <v>7722</v>
      </c>
      <c r="H34">
        <f t="shared" si="7"/>
        <v>7915.0499999999993</v>
      </c>
      <c r="I34">
        <f t="shared" si="7"/>
        <v>6280.5599999999995</v>
      </c>
      <c r="J34">
        <f t="shared" si="7"/>
        <v>7721.9999999999991</v>
      </c>
      <c r="K34">
        <f t="shared" si="7"/>
        <v>6949.7999999999993</v>
      </c>
      <c r="L34">
        <f t="shared" si="7"/>
        <v>8236.7999999999993</v>
      </c>
    </row>
    <row r="35" spans="1:12" x14ac:dyDescent="0.25">
      <c r="F35" t="s">
        <v>177</v>
      </c>
      <c r="G35" s="2">
        <f>Paneles!$I$18-'Tejado casa existente'!G34</f>
        <v>1265.2386241954282</v>
      </c>
      <c r="H35" s="2">
        <f>Paneles!$I$18-'Tejado casa existente'!H34</f>
        <v>1072.1886241954289</v>
      </c>
      <c r="I35" s="2">
        <f>Paneles!$I$18-'Tejado casa existente'!I34</f>
        <v>2706.6786241954287</v>
      </c>
      <c r="J35" s="2">
        <f>Paneles!$I$18-'Tejado casa existente'!J34</f>
        <v>1265.2386241954291</v>
      </c>
      <c r="K35" s="2">
        <f>Paneles!$I$18-'Tejado casa existente'!K34</f>
        <v>2037.4386241954289</v>
      </c>
      <c r="L35" s="2">
        <f>Paneles!$I$18-'Tejado casa existente'!L34</f>
        <v>750.43862419542893</v>
      </c>
    </row>
    <row r="36" spans="1:12" x14ac:dyDescent="0.25">
      <c r="F36" t="s">
        <v>191</v>
      </c>
      <c r="G36" s="102">
        <f>G34/$P$31</f>
        <v>0.859218311975254</v>
      </c>
      <c r="H36" s="102">
        <f t="shared" ref="H36:L36" si="8">H34/$P$31</f>
        <v>0.88069876977463524</v>
      </c>
      <c r="I36" s="102">
        <f t="shared" si="8"/>
        <v>0.69883089373987317</v>
      </c>
      <c r="J36" s="102">
        <f t="shared" si="8"/>
        <v>0.85921831197525389</v>
      </c>
      <c r="K36" s="102">
        <f t="shared" si="8"/>
        <v>0.7732964807777285</v>
      </c>
      <c r="L36" s="102">
        <f t="shared" si="8"/>
        <v>0.91649953277360419</v>
      </c>
    </row>
    <row r="37" spans="1:12" x14ac:dyDescent="0.25">
      <c r="G37" s="102"/>
      <c r="H37" s="102"/>
      <c r="I37" s="102"/>
      <c r="J37" s="102"/>
      <c r="K37" s="102"/>
      <c r="L37" s="102"/>
    </row>
    <row r="38" spans="1:12" x14ac:dyDescent="0.25">
      <c r="F38" s="165" t="s">
        <v>178</v>
      </c>
      <c r="G38" s="165"/>
      <c r="H38" s="165"/>
    </row>
    <row r="39" spans="1:12" x14ac:dyDescent="0.25">
      <c r="F39" t="s">
        <v>91</v>
      </c>
      <c r="G39">
        <f>B30/1000</f>
        <v>1.1100000000000001</v>
      </c>
      <c r="H39" t="s">
        <v>170</v>
      </c>
    </row>
    <row r="40" spans="1:12" x14ac:dyDescent="0.25">
      <c r="F40" s="41" t="s">
        <v>179</v>
      </c>
      <c r="G40" s="88">
        <f>G35/($G$39*$G$19)</f>
        <v>1266.5051293247527</v>
      </c>
      <c r="H40" s="88">
        <f t="shared" ref="H40:K40" si="9">H35/($G$39*$G$19)</f>
        <v>1073.2618860815103</v>
      </c>
      <c r="I40" s="88">
        <f t="shared" si="9"/>
        <v>2709.3880122076362</v>
      </c>
      <c r="J40" s="88">
        <f t="shared" si="9"/>
        <v>1266.5051293247536</v>
      </c>
      <c r="K40" s="88">
        <f t="shared" si="9"/>
        <v>2039.4781022977265</v>
      </c>
      <c r="L40" s="89">
        <f>L35/($G$39*$G$19)</f>
        <v>751.18981400943824</v>
      </c>
    </row>
    <row r="41" spans="1:12" x14ac:dyDescent="0.25">
      <c r="F41" s="43" t="s">
        <v>93</v>
      </c>
      <c r="G41" s="35">
        <f>$G$39*G22*$G$19</f>
        <v>249.75</v>
      </c>
      <c r="H41" s="35">
        <f t="shared" ref="H41:L41" si="10">$G$39*H22*$G$19</f>
        <v>149.85000000000002</v>
      </c>
      <c r="I41" s="35">
        <f t="shared" si="10"/>
        <v>79.920000000000016</v>
      </c>
      <c r="J41" s="35">
        <f t="shared" si="10"/>
        <v>199.80000000000004</v>
      </c>
      <c r="K41" s="35">
        <f t="shared" si="10"/>
        <v>199.80000000000004</v>
      </c>
      <c r="L41" s="32">
        <f t="shared" si="10"/>
        <v>319.68000000000006</v>
      </c>
    </row>
    <row r="42" spans="1:12" x14ac:dyDescent="0.25">
      <c r="F42" s="74" t="s">
        <v>95</v>
      </c>
      <c r="G42" s="35">
        <f>G41/G23</f>
        <v>10.40625</v>
      </c>
      <c r="H42" s="35">
        <f t="shared" ref="H42:L42" si="11">H41/H23</f>
        <v>12.487500000000002</v>
      </c>
      <c r="I42" s="35">
        <f t="shared" si="11"/>
        <v>6.660000000000001</v>
      </c>
      <c r="J42" s="35">
        <f t="shared" si="11"/>
        <v>16.650000000000002</v>
      </c>
      <c r="K42" s="35">
        <f t="shared" si="11"/>
        <v>8.3250000000000011</v>
      </c>
      <c r="L42" s="32">
        <f t="shared" si="11"/>
        <v>13.320000000000002</v>
      </c>
    </row>
    <row r="43" spans="1:12" x14ac:dyDescent="0.25">
      <c r="F43" s="74" t="s">
        <v>98</v>
      </c>
      <c r="G43" s="86">
        <f>G35/G41</f>
        <v>5.0660205172990116</v>
      </c>
      <c r="H43" s="86">
        <f t="shared" ref="H43:L43" si="12">H35/H41</f>
        <v>7.1550792405434018</v>
      </c>
      <c r="I43" s="86">
        <f t="shared" si="12"/>
        <v>33.867350152595449</v>
      </c>
      <c r="J43" s="86">
        <f t="shared" si="12"/>
        <v>6.3325256466237683</v>
      </c>
      <c r="K43" s="86">
        <f t="shared" si="12"/>
        <v>10.197390511488631</v>
      </c>
      <c r="L43" s="87">
        <f t="shared" si="12"/>
        <v>2.3474681687794945</v>
      </c>
    </row>
    <row r="44" spans="1:12" x14ac:dyDescent="0.25">
      <c r="F44" s="43"/>
      <c r="G44" s="90">
        <f>ROUNDUP(G43,0)</f>
        <v>6</v>
      </c>
      <c r="H44" s="90">
        <f t="shared" ref="H44:L44" si="13">ROUNDUP(H43,0)</f>
        <v>8</v>
      </c>
      <c r="I44" s="90">
        <f t="shared" si="13"/>
        <v>34</v>
      </c>
      <c r="J44" s="90">
        <f t="shared" si="13"/>
        <v>7</v>
      </c>
      <c r="K44" s="90">
        <f t="shared" si="13"/>
        <v>11</v>
      </c>
      <c r="L44" s="91">
        <f t="shared" si="13"/>
        <v>3</v>
      </c>
    </row>
    <row r="45" spans="1:12" x14ac:dyDescent="0.25">
      <c r="F45" s="43" t="s">
        <v>100</v>
      </c>
      <c r="G45" s="35">
        <f>G44*G25</f>
        <v>9.7620000000000005</v>
      </c>
      <c r="H45" s="35">
        <f t="shared" ref="H45:L45" si="14">H44*H25</f>
        <v>7.7839999999999998</v>
      </c>
      <c r="I45" s="35">
        <f t="shared" si="14"/>
        <v>22.134</v>
      </c>
      <c r="J45" s="35">
        <f t="shared" si="14"/>
        <v>9.1769999999999996</v>
      </c>
      <c r="K45" s="35">
        <f t="shared" si="14"/>
        <v>16.225000000000001</v>
      </c>
      <c r="L45" s="32">
        <f t="shared" si="14"/>
        <v>5.82</v>
      </c>
    </row>
    <row r="46" spans="1:12" x14ac:dyDescent="0.25">
      <c r="F46" s="44" t="s">
        <v>101</v>
      </c>
      <c r="G46" s="81" t="e">
        <f>G44*G26</f>
        <v>#VALUE!</v>
      </c>
      <c r="H46" s="81">
        <f t="shared" ref="H46:L46" si="15">H44*H26</f>
        <v>1576</v>
      </c>
      <c r="I46" s="81">
        <f t="shared" si="15"/>
        <v>5746</v>
      </c>
      <c r="J46" s="81">
        <f t="shared" si="15"/>
        <v>1330</v>
      </c>
      <c r="K46" s="81">
        <f t="shared" si="15"/>
        <v>2002</v>
      </c>
      <c r="L46" s="82">
        <f t="shared" si="15"/>
        <v>714</v>
      </c>
    </row>
    <row r="47" spans="1:12" ht="15.75" thickBot="1" x14ac:dyDescent="0.3"/>
    <row r="48" spans="1:12" ht="15.75" thickTop="1" x14ac:dyDescent="0.25">
      <c r="F48" s="184" t="s">
        <v>181</v>
      </c>
      <c r="G48" s="185"/>
      <c r="H48" s="185"/>
      <c r="I48" s="185"/>
      <c r="J48" s="185"/>
      <c r="K48" s="185"/>
      <c r="L48" s="186"/>
    </row>
    <row r="49" spans="6:12" x14ac:dyDescent="0.25">
      <c r="F49" s="98" t="s">
        <v>171</v>
      </c>
      <c r="G49" s="99">
        <v>1</v>
      </c>
      <c r="H49" s="99">
        <v>2</v>
      </c>
      <c r="I49" s="99">
        <v>3</v>
      </c>
      <c r="J49" s="100">
        <v>4</v>
      </c>
      <c r="K49" s="100">
        <v>5</v>
      </c>
      <c r="L49" s="101">
        <v>6</v>
      </c>
    </row>
    <row r="50" spans="6:12" x14ac:dyDescent="0.25">
      <c r="F50" s="96" t="s">
        <v>98</v>
      </c>
      <c r="G50" s="90">
        <f t="shared" ref="G50:L50" si="16">G44+G33</f>
        <v>30</v>
      </c>
      <c r="H50" s="90">
        <f t="shared" si="16"/>
        <v>49</v>
      </c>
      <c r="I50" s="90">
        <f t="shared" si="16"/>
        <v>95</v>
      </c>
      <c r="J50" s="90">
        <f t="shared" si="16"/>
        <v>37</v>
      </c>
      <c r="K50" s="90">
        <f t="shared" si="16"/>
        <v>38</v>
      </c>
      <c r="L50" s="92">
        <f t="shared" si="16"/>
        <v>23</v>
      </c>
    </row>
    <row r="51" spans="6:12" x14ac:dyDescent="0.25">
      <c r="F51" s="96" t="s">
        <v>85</v>
      </c>
      <c r="G51" s="79">
        <f t="shared" ref="G51:L51" si="17">G45+$B$33</f>
        <v>49.762</v>
      </c>
      <c r="H51" s="79">
        <f t="shared" si="17"/>
        <v>47.783999999999999</v>
      </c>
      <c r="I51" s="79">
        <f t="shared" si="17"/>
        <v>62.134</v>
      </c>
      <c r="J51" s="79">
        <f t="shared" si="17"/>
        <v>49.177</v>
      </c>
      <c r="K51" s="79">
        <f t="shared" si="17"/>
        <v>56.225000000000001</v>
      </c>
      <c r="L51" s="93">
        <f t="shared" si="17"/>
        <v>45.82</v>
      </c>
    </row>
    <row r="52" spans="6:12" ht="15.75" thickBot="1" x14ac:dyDescent="0.3">
      <c r="F52" s="97" t="s">
        <v>182</v>
      </c>
      <c r="G52" s="94" t="e">
        <f t="shared" ref="G52:L52" si="18">G26*G50</f>
        <v>#VALUE!</v>
      </c>
      <c r="H52" s="94">
        <f t="shared" si="18"/>
        <v>9653</v>
      </c>
      <c r="I52" s="94">
        <f t="shared" si="18"/>
        <v>16055</v>
      </c>
      <c r="J52" s="94">
        <f t="shared" si="18"/>
        <v>7030</v>
      </c>
      <c r="K52" s="94">
        <f t="shared" si="18"/>
        <v>6916</v>
      </c>
      <c r="L52" s="95">
        <f>L26*L50</f>
        <v>5474</v>
      </c>
    </row>
    <row r="53" spans="6:12" ht="15.75" thickTop="1" x14ac:dyDescent="0.25"/>
  </sheetData>
  <mergeCells count="6">
    <mergeCell ref="F48:L48"/>
    <mergeCell ref="A16:C16"/>
    <mergeCell ref="A17:A18"/>
    <mergeCell ref="B17:C17"/>
    <mergeCell ref="F16:H16"/>
    <mergeCell ref="F38:H38"/>
  </mergeCells>
  <hyperlinks>
    <hyperlink ref="A4" r:id="rId1"/>
  </hyperlinks>
  <pageMargins left="0.7" right="0.7" top="0.75" bottom="0.75" header="0.3" footer="0.3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3" sqref="C3"/>
    </sheetView>
  </sheetViews>
  <sheetFormatPr baseColWidth="10" defaultRowHeight="15" x14ac:dyDescent="0.25"/>
  <cols>
    <col min="2" max="2" width="56.85546875" customWidth="1"/>
    <col min="3" max="3" width="18.85546875" customWidth="1"/>
  </cols>
  <sheetData>
    <row r="1" spans="2:5" ht="15.75" thickBot="1" x14ac:dyDescent="0.3"/>
    <row r="2" spans="2:5" x14ac:dyDescent="0.25">
      <c r="B2" s="159" t="s">
        <v>198</v>
      </c>
      <c r="C2" s="152" t="s">
        <v>199</v>
      </c>
    </row>
    <row r="3" spans="2:5" x14ac:dyDescent="0.25">
      <c r="B3" s="153" t="s">
        <v>200</v>
      </c>
      <c r="C3" s="154">
        <f>800*95</f>
        <v>76000</v>
      </c>
      <c r="E3" t="s">
        <v>203</v>
      </c>
    </row>
    <row r="4" spans="2:5" x14ac:dyDescent="0.25">
      <c r="B4" s="153" t="s">
        <v>201</v>
      </c>
      <c r="C4" s="154">
        <f>1.19*C3</f>
        <v>90440</v>
      </c>
    </row>
    <row r="5" spans="2:5" x14ac:dyDescent="0.25">
      <c r="B5" s="153" t="s">
        <v>202</v>
      </c>
      <c r="C5" s="155">
        <f>1.1*C4</f>
        <v>99484.000000000015</v>
      </c>
    </row>
    <row r="6" spans="2:5" x14ac:dyDescent="0.25">
      <c r="B6" s="153"/>
      <c r="C6" s="154"/>
    </row>
    <row r="7" spans="2:5" x14ac:dyDescent="0.25">
      <c r="B7" s="153" t="s">
        <v>234</v>
      </c>
      <c r="C7" s="154">
        <f>350+700</f>
        <v>1050</v>
      </c>
    </row>
    <row r="8" spans="2:5" x14ac:dyDescent="0.25">
      <c r="B8" s="153" t="s">
        <v>204</v>
      </c>
      <c r="C8" s="154">
        <f>0.04*C3</f>
        <v>3040</v>
      </c>
    </row>
    <row r="9" spans="2:5" x14ac:dyDescent="0.25">
      <c r="B9" s="153" t="s">
        <v>205</v>
      </c>
      <c r="C9" s="154">
        <f>0.02*C3</f>
        <v>1520</v>
      </c>
    </row>
    <row r="10" spans="2:5" x14ac:dyDescent="0.25">
      <c r="B10" s="153" t="s">
        <v>206</v>
      </c>
      <c r="C10" s="155">
        <f>1.21*(C7+C8+C9)</f>
        <v>6788.0999999999995</v>
      </c>
    </row>
    <row r="11" spans="2:5" x14ac:dyDescent="0.25">
      <c r="B11" s="153"/>
      <c r="C11" s="156"/>
    </row>
    <row r="12" spans="2:5" x14ac:dyDescent="0.25">
      <c r="B12" s="153" t="s">
        <v>207</v>
      </c>
      <c r="C12" s="155">
        <f>0.015*C3</f>
        <v>1140</v>
      </c>
    </row>
    <row r="13" spans="2:5" x14ac:dyDescent="0.25">
      <c r="B13" s="153" t="s">
        <v>208</v>
      </c>
      <c r="C13" s="155">
        <f>0.04*C3</f>
        <v>3040</v>
      </c>
    </row>
    <row r="14" spans="2:5" x14ac:dyDescent="0.25">
      <c r="B14" s="153" t="s">
        <v>209</v>
      </c>
      <c r="C14" s="155">
        <v>400</v>
      </c>
    </row>
    <row r="15" spans="2:5" x14ac:dyDescent="0.25">
      <c r="B15" s="153"/>
      <c r="C15" s="154"/>
    </row>
    <row r="16" spans="2:5" ht="15.75" thickBot="1" x14ac:dyDescent="0.3">
      <c r="B16" s="157" t="s">
        <v>190</v>
      </c>
      <c r="C16" s="158">
        <f>C5+C10+C12+C13+C14</f>
        <v>110852.10000000002</v>
      </c>
    </row>
    <row r="17" spans="1:4" x14ac:dyDescent="0.25">
      <c r="A17" s="35"/>
      <c r="B17" s="190" t="s">
        <v>235</v>
      </c>
      <c r="C17" s="160"/>
      <c r="D17" s="35"/>
    </row>
    <row r="18" spans="1:4" x14ac:dyDescent="0.25">
      <c r="B18" s="191"/>
      <c r="C18" s="160"/>
      <c r="D18" s="35"/>
    </row>
    <row r="19" spans="1:4" x14ac:dyDescent="0.25">
      <c r="B19" s="35"/>
      <c r="C19" s="35"/>
    </row>
  </sheetData>
  <mergeCells count="1">
    <mergeCell ref="B17:B18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H14" sqref="H14"/>
    </sheetView>
  </sheetViews>
  <sheetFormatPr baseColWidth="10" defaultRowHeight="15" x14ac:dyDescent="0.25"/>
  <cols>
    <col min="5" max="5" width="5" customWidth="1"/>
    <col min="6" max="11" width="15.7109375" customWidth="1"/>
  </cols>
  <sheetData>
    <row r="1" spans="1:11" ht="15.75" thickBot="1" x14ac:dyDescent="0.3"/>
    <row r="2" spans="1:11" ht="15.75" thickBot="1" x14ac:dyDescent="0.3">
      <c r="A2" t="s">
        <v>214</v>
      </c>
      <c r="B2" t="s">
        <v>210</v>
      </c>
      <c r="D2" s="35"/>
      <c r="E2" s="148"/>
      <c r="F2" s="151"/>
      <c r="G2" s="192" t="s">
        <v>218</v>
      </c>
      <c r="H2" s="193"/>
      <c r="I2" s="193"/>
      <c r="J2" s="193"/>
      <c r="K2" s="194"/>
    </row>
    <row r="3" spans="1:11" ht="39.950000000000003" customHeight="1" thickBot="1" x14ac:dyDescent="0.3">
      <c r="A3" t="s">
        <v>215</v>
      </c>
      <c r="B3" t="s">
        <v>211</v>
      </c>
      <c r="D3" s="35"/>
      <c r="E3" s="149"/>
      <c r="F3" s="150"/>
      <c r="G3" s="144" t="s">
        <v>220</v>
      </c>
      <c r="H3" s="145" t="s">
        <v>221</v>
      </c>
      <c r="I3" s="146" t="s">
        <v>222</v>
      </c>
      <c r="J3" s="145" t="s">
        <v>223</v>
      </c>
      <c r="K3" s="147" t="s">
        <v>224</v>
      </c>
    </row>
    <row r="4" spans="1:11" ht="39.950000000000003" customHeight="1" x14ac:dyDescent="0.25">
      <c r="A4" t="s">
        <v>216</v>
      </c>
      <c r="B4" t="s">
        <v>212</v>
      </c>
      <c r="E4" s="195" t="s">
        <v>219</v>
      </c>
      <c r="F4" s="139" t="s">
        <v>225</v>
      </c>
      <c r="G4" s="118"/>
      <c r="H4" s="119"/>
      <c r="I4" s="120"/>
      <c r="J4" s="121" t="s">
        <v>214</v>
      </c>
      <c r="K4" s="122" t="s">
        <v>215</v>
      </c>
    </row>
    <row r="5" spans="1:11" ht="39.950000000000003" customHeight="1" x14ac:dyDescent="0.25">
      <c r="A5" t="s">
        <v>217</v>
      </c>
      <c r="B5" t="s">
        <v>213</v>
      </c>
      <c r="E5" s="196"/>
      <c r="F5" s="140" t="s">
        <v>226</v>
      </c>
      <c r="G5" s="123"/>
      <c r="H5" s="124"/>
      <c r="I5" s="125" t="s">
        <v>217</v>
      </c>
      <c r="J5" s="125" t="s">
        <v>232</v>
      </c>
      <c r="K5" s="126"/>
    </row>
    <row r="6" spans="1:11" ht="39.950000000000003" customHeight="1" x14ac:dyDescent="0.25">
      <c r="A6" t="s">
        <v>230</v>
      </c>
      <c r="B6" t="s">
        <v>231</v>
      </c>
      <c r="E6" s="196"/>
      <c r="F6" s="141" t="s">
        <v>228</v>
      </c>
      <c r="G6" s="127"/>
      <c r="H6" s="128"/>
      <c r="I6" s="125"/>
      <c r="J6" s="129"/>
      <c r="K6" s="130"/>
    </row>
    <row r="7" spans="1:11" ht="39.950000000000003" customHeight="1" x14ac:dyDescent="0.25">
      <c r="A7" t="s">
        <v>232</v>
      </c>
      <c r="B7" t="s">
        <v>233</v>
      </c>
      <c r="E7" s="196"/>
      <c r="F7" s="142" t="s">
        <v>229</v>
      </c>
      <c r="G7" s="131"/>
      <c r="H7" s="125" t="s">
        <v>216</v>
      </c>
      <c r="I7" s="125"/>
      <c r="J7" s="132"/>
      <c r="K7" s="133"/>
    </row>
    <row r="8" spans="1:11" ht="39.950000000000003" customHeight="1" thickBot="1" x14ac:dyDescent="0.3">
      <c r="E8" s="197"/>
      <c r="F8" s="143" t="s">
        <v>227</v>
      </c>
      <c r="G8" s="134"/>
      <c r="H8" s="135"/>
      <c r="I8" s="136" t="s">
        <v>230</v>
      </c>
      <c r="J8" s="137"/>
      <c r="K8" s="138"/>
    </row>
    <row r="9" spans="1:11" x14ac:dyDescent="0.25">
      <c r="E9" s="35"/>
      <c r="I9" s="35"/>
    </row>
  </sheetData>
  <mergeCells count="2">
    <mergeCell ref="G2:K2"/>
    <mergeCell ref="E4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workbookViewId="0">
      <selection activeCell="G24" sqref="G24"/>
    </sheetView>
  </sheetViews>
  <sheetFormatPr baseColWidth="10" defaultRowHeight="15" x14ac:dyDescent="0.25"/>
  <cols>
    <col min="1" max="1" width="22.42578125" customWidth="1"/>
  </cols>
  <sheetData>
    <row r="1" spans="1:9" x14ac:dyDescent="0.25">
      <c r="A1" s="7" t="s">
        <v>236</v>
      </c>
    </row>
    <row r="2" spans="1:9" x14ac:dyDescent="0.25">
      <c r="D2" t="s">
        <v>238</v>
      </c>
    </row>
    <row r="3" spans="1:9" x14ac:dyDescent="0.25">
      <c r="A3" t="s">
        <v>237</v>
      </c>
      <c r="B3">
        <f>Paneles!P16*Paneles!R16+Paneles!P17*Paneles!R17+Paneles!P18*Paneles!R18+Paneles!P19*Paneles!R19+Paneles!P20*Paneles!R20</f>
        <v>2344.7583333333332</v>
      </c>
      <c r="C3" t="s">
        <v>97</v>
      </c>
      <c r="D3">
        <f>10*9+3*75+2*78+2*883+7*15</f>
        <v>2342</v>
      </c>
      <c r="E3" t="s">
        <v>97</v>
      </c>
    </row>
    <row r="8" spans="1:9" x14ac:dyDescent="0.25">
      <c r="A8" s="7" t="s">
        <v>239</v>
      </c>
    </row>
    <row r="10" spans="1:9" x14ac:dyDescent="0.25">
      <c r="A10" t="s">
        <v>240</v>
      </c>
      <c r="B10" t="s">
        <v>242</v>
      </c>
      <c r="F10" s="28" t="s">
        <v>245</v>
      </c>
      <c r="G10" s="28"/>
      <c r="H10" s="28"/>
      <c r="I10" s="28" t="s">
        <v>249</v>
      </c>
    </row>
    <row r="11" spans="1:9" x14ac:dyDescent="0.25">
      <c r="A11" t="s">
        <v>241</v>
      </c>
      <c r="B11" t="s">
        <v>243</v>
      </c>
      <c r="C11">
        <f>1.25*187</f>
        <v>233.75</v>
      </c>
      <c r="D11" t="s">
        <v>214</v>
      </c>
      <c r="E11" t="s">
        <v>248</v>
      </c>
      <c r="F11" s="161" t="s">
        <v>244</v>
      </c>
      <c r="G11" s="28"/>
      <c r="H11" s="28"/>
      <c r="I11" s="28"/>
    </row>
    <row r="12" spans="1:9" x14ac:dyDescent="0.25">
      <c r="C12" s="163">
        <f>1.25*94</f>
        <v>117.5</v>
      </c>
      <c r="D12" s="163" t="s">
        <v>255</v>
      </c>
      <c r="E12" t="s">
        <v>253</v>
      </c>
      <c r="F12" s="26" t="s">
        <v>252</v>
      </c>
    </row>
    <row r="13" spans="1:9" x14ac:dyDescent="0.25">
      <c r="C13" t="s">
        <v>254</v>
      </c>
      <c r="F13" s="19" t="s">
        <v>246</v>
      </c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 t="s">
        <v>247</v>
      </c>
      <c r="G15" s="19" t="s">
        <v>251</v>
      </c>
      <c r="H15" s="19"/>
      <c r="I15" s="19"/>
    </row>
    <row r="16" spans="1:9" x14ac:dyDescent="0.25">
      <c r="F16" s="162" t="s">
        <v>250</v>
      </c>
      <c r="G16" s="19"/>
      <c r="H16" s="19"/>
      <c r="I16" s="19"/>
    </row>
    <row r="18" spans="1:11" x14ac:dyDescent="0.25">
      <c r="A18" s="7" t="s">
        <v>256</v>
      </c>
    </row>
    <row r="20" spans="1:11" x14ac:dyDescent="0.25">
      <c r="A20" t="s">
        <v>257</v>
      </c>
      <c r="B20" t="s">
        <v>262</v>
      </c>
      <c r="C20">
        <f>48*0.025</f>
        <v>1.2000000000000002</v>
      </c>
    </row>
    <row r="21" spans="1:11" x14ac:dyDescent="0.25">
      <c r="A21" t="s">
        <v>258</v>
      </c>
    </row>
    <row r="22" spans="1:11" x14ac:dyDescent="0.25">
      <c r="A22" t="s">
        <v>259</v>
      </c>
      <c r="B22" t="s">
        <v>263</v>
      </c>
      <c r="C22">
        <f>2*8*59/(56*C20)</f>
        <v>14.047619047619044</v>
      </c>
      <c r="D22" t="s">
        <v>264</v>
      </c>
      <c r="E22" s="163" t="s">
        <v>265</v>
      </c>
      <c r="F22" s="163"/>
      <c r="G22" s="163">
        <v>16</v>
      </c>
      <c r="H22" s="163" t="s">
        <v>264</v>
      </c>
      <c r="I22" s="26" t="s">
        <v>268</v>
      </c>
    </row>
    <row r="23" spans="1:11" x14ac:dyDescent="0.25">
      <c r="A23" t="s">
        <v>260</v>
      </c>
      <c r="E23" s="163"/>
      <c r="F23" s="163"/>
      <c r="G23" s="163"/>
      <c r="H23" s="163"/>
      <c r="I23" t="s">
        <v>269</v>
      </c>
      <c r="J23">
        <f>1.63*50</f>
        <v>81.5</v>
      </c>
      <c r="K23" t="s">
        <v>270</v>
      </c>
    </row>
    <row r="24" spans="1:11" x14ac:dyDescent="0.25">
      <c r="A24" t="s">
        <v>261</v>
      </c>
      <c r="E24" s="163" t="s">
        <v>266</v>
      </c>
      <c r="F24" s="163"/>
      <c r="G24" s="163">
        <f>2*8+22*1.5</f>
        <v>49</v>
      </c>
      <c r="H24" s="163" t="s">
        <v>267</v>
      </c>
    </row>
    <row r="27" spans="1:11" x14ac:dyDescent="0.25">
      <c r="A27" s="7" t="s">
        <v>271</v>
      </c>
    </row>
    <row r="28" spans="1:11" x14ac:dyDescent="0.25">
      <c r="A28" s="26" t="s">
        <v>272</v>
      </c>
    </row>
    <row r="29" spans="1:11" x14ac:dyDescent="0.25">
      <c r="A29" t="s">
        <v>276</v>
      </c>
      <c r="B29" t="s">
        <v>277</v>
      </c>
    </row>
    <row r="32" spans="1:11" ht="15.75" thickBot="1" x14ac:dyDescent="0.3">
      <c r="A32" s="7" t="s">
        <v>273</v>
      </c>
    </row>
    <row r="33" spans="1:2" ht="15.75" thickBot="1" x14ac:dyDescent="0.3">
      <c r="A33" s="198">
        <v>4032</v>
      </c>
      <c r="B33" t="s">
        <v>149</v>
      </c>
    </row>
    <row r="34" spans="1:2" ht="15.75" thickBot="1" x14ac:dyDescent="0.3">
      <c r="A34" s="199">
        <v>4358</v>
      </c>
      <c r="B34" t="s">
        <v>274</v>
      </c>
    </row>
    <row r="35" spans="1:2" ht="15.75" thickBot="1" x14ac:dyDescent="0.3">
      <c r="A35" s="199">
        <v>1412</v>
      </c>
      <c r="B35" t="s">
        <v>275</v>
      </c>
    </row>
    <row r="36" spans="1:2" ht="15.75" thickBot="1" x14ac:dyDescent="0.3">
      <c r="A36" s="199">
        <v>82</v>
      </c>
      <c r="B36" t="s">
        <v>256</v>
      </c>
    </row>
    <row r="37" spans="1:2" ht="15.75" thickBot="1" x14ac:dyDescent="0.3">
      <c r="A37" s="199">
        <v>205</v>
      </c>
      <c r="B37" t="s">
        <v>271</v>
      </c>
    </row>
  </sheetData>
  <hyperlinks>
    <hyperlink ref="F11" r:id="rId1"/>
    <hyperlink ref="F16" r:id="rId2"/>
    <hyperlink ref="F12" r:id="rId3"/>
    <hyperlink ref="I22" r:id="rId4"/>
    <hyperlink ref="A28" r:id="rId5"/>
  </hyperlinks>
  <pageMargins left="0.7" right="0.7" top="0.75" bottom="0.75" header="0.3" footer="0.3"/>
  <pageSetup paperSize="9" orientation="portrait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topLeftCell="C5" workbookViewId="0">
      <selection activeCell="H5" sqref="H5"/>
    </sheetView>
  </sheetViews>
  <sheetFormatPr baseColWidth="10" defaultRowHeight="15" x14ac:dyDescent="0.25"/>
  <cols>
    <col min="2" max="2" width="21.85546875" customWidth="1"/>
    <col min="3" max="3" width="37.42578125" customWidth="1"/>
    <col min="4" max="4" width="37.7109375" customWidth="1"/>
  </cols>
  <sheetData>
    <row r="1" spans="2:10" x14ac:dyDescent="0.25">
      <c r="C1" t="s">
        <v>285</v>
      </c>
    </row>
    <row r="2" spans="2:10" x14ac:dyDescent="0.25">
      <c r="C2" s="200" t="s">
        <v>280</v>
      </c>
      <c r="D2" s="200" t="s">
        <v>281</v>
      </c>
      <c r="E2" s="201" t="s">
        <v>190</v>
      </c>
    </row>
    <row r="3" spans="2:10" x14ac:dyDescent="0.25">
      <c r="B3" s="200" t="s">
        <v>278</v>
      </c>
      <c r="C3">
        <f>4.6*41.156</f>
        <v>189.31759999999997</v>
      </c>
      <c r="D3">
        <f>0.12*2241</f>
        <v>268.92</v>
      </c>
      <c r="E3">
        <f>SUM(C3:D3)</f>
        <v>458.23759999999999</v>
      </c>
    </row>
    <row r="4" spans="2:10" x14ac:dyDescent="0.25">
      <c r="B4" s="200" t="s">
        <v>279</v>
      </c>
      <c r="C4">
        <v>0</v>
      </c>
      <c r="D4">
        <v>323</v>
      </c>
      <c r="E4">
        <f>SUM(C4:D4)</f>
        <v>323</v>
      </c>
      <c r="G4" s="202" t="s">
        <v>286</v>
      </c>
      <c r="H4" s="202" t="s">
        <v>287</v>
      </c>
      <c r="I4" s="202" t="s">
        <v>288</v>
      </c>
      <c r="J4" s="202" t="s">
        <v>289</v>
      </c>
    </row>
    <row r="5" spans="2:10" x14ac:dyDescent="0.25">
      <c r="G5">
        <v>1</v>
      </c>
      <c r="H5">
        <v>8087</v>
      </c>
      <c r="I5">
        <v>458.2</v>
      </c>
      <c r="J5">
        <f>I5-H5</f>
        <v>-7628.8</v>
      </c>
    </row>
    <row r="6" spans="2:10" x14ac:dyDescent="0.25">
      <c r="B6" s="202" t="s">
        <v>283</v>
      </c>
      <c r="C6">
        <f>E3-E4</f>
        <v>135.23759999999999</v>
      </c>
      <c r="G6">
        <v>2</v>
      </c>
      <c r="H6">
        <v>0</v>
      </c>
      <c r="I6">
        <v>458.2</v>
      </c>
      <c r="J6">
        <f>J5+I6</f>
        <v>-7170.6</v>
      </c>
    </row>
    <row r="7" spans="2:10" ht="32.25" customHeight="1" x14ac:dyDescent="0.25">
      <c r="B7" s="203" t="s">
        <v>282</v>
      </c>
      <c r="C7">
        <f>8087/E3</f>
        <v>17.648049832663229</v>
      </c>
      <c r="G7">
        <v>3</v>
      </c>
      <c r="H7">
        <v>0</v>
      </c>
      <c r="I7">
        <v>458.2</v>
      </c>
      <c r="J7">
        <f t="shared" ref="J7:J29" si="0">J6+I7</f>
        <v>-6712.4000000000005</v>
      </c>
    </row>
    <row r="8" spans="2:10" x14ac:dyDescent="0.25">
      <c r="G8">
        <v>4</v>
      </c>
      <c r="H8">
        <v>0</v>
      </c>
      <c r="I8">
        <v>458.2</v>
      </c>
      <c r="J8">
        <f t="shared" si="0"/>
        <v>-6254.2000000000007</v>
      </c>
    </row>
    <row r="9" spans="2:10" x14ac:dyDescent="0.25">
      <c r="G9">
        <v>5</v>
      </c>
      <c r="H9">
        <v>0</v>
      </c>
      <c r="I9">
        <v>458.2</v>
      </c>
      <c r="J9">
        <f t="shared" si="0"/>
        <v>-5796.0000000000009</v>
      </c>
    </row>
    <row r="10" spans="2:10" x14ac:dyDescent="0.25">
      <c r="G10">
        <v>6</v>
      </c>
      <c r="H10">
        <v>0</v>
      </c>
      <c r="I10">
        <v>458.2</v>
      </c>
      <c r="J10">
        <f t="shared" si="0"/>
        <v>-5337.8000000000011</v>
      </c>
    </row>
    <row r="11" spans="2:10" x14ac:dyDescent="0.25">
      <c r="G11">
        <v>7</v>
      </c>
      <c r="H11">
        <v>0</v>
      </c>
      <c r="I11">
        <v>458.2</v>
      </c>
      <c r="J11">
        <f t="shared" si="0"/>
        <v>-4879.6000000000013</v>
      </c>
    </row>
    <row r="12" spans="2:10" x14ac:dyDescent="0.25">
      <c r="B12" s="7"/>
      <c r="G12">
        <v>8</v>
      </c>
      <c r="H12">
        <v>0</v>
      </c>
      <c r="I12">
        <v>458.2</v>
      </c>
      <c r="J12">
        <f t="shared" si="0"/>
        <v>-4421.4000000000015</v>
      </c>
    </row>
    <row r="13" spans="2:10" x14ac:dyDescent="0.25">
      <c r="G13">
        <v>9</v>
      </c>
      <c r="H13">
        <v>0</v>
      </c>
      <c r="I13">
        <v>458.2</v>
      </c>
      <c r="J13">
        <f t="shared" si="0"/>
        <v>-3963.2000000000016</v>
      </c>
    </row>
    <row r="14" spans="2:10" x14ac:dyDescent="0.25">
      <c r="G14">
        <v>10</v>
      </c>
      <c r="H14">
        <v>0</v>
      </c>
      <c r="I14">
        <v>458.2</v>
      </c>
      <c r="J14">
        <f t="shared" si="0"/>
        <v>-3505.0000000000018</v>
      </c>
    </row>
    <row r="15" spans="2:10" x14ac:dyDescent="0.25">
      <c r="G15">
        <v>11</v>
      </c>
      <c r="H15">
        <v>0</v>
      </c>
      <c r="I15">
        <v>458.2</v>
      </c>
      <c r="J15">
        <f t="shared" si="0"/>
        <v>-3046.800000000002</v>
      </c>
    </row>
    <row r="16" spans="2:10" x14ac:dyDescent="0.25">
      <c r="G16">
        <v>12</v>
      </c>
      <c r="H16">
        <v>0</v>
      </c>
      <c r="I16">
        <v>458.2</v>
      </c>
      <c r="J16">
        <f t="shared" si="0"/>
        <v>-2588.6000000000022</v>
      </c>
    </row>
    <row r="17" spans="7:10" x14ac:dyDescent="0.25">
      <c r="G17">
        <v>13</v>
      </c>
      <c r="H17">
        <v>0</v>
      </c>
      <c r="I17">
        <v>458.2</v>
      </c>
      <c r="J17">
        <f t="shared" si="0"/>
        <v>-2130.4000000000024</v>
      </c>
    </row>
    <row r="18" spans="7:10" x14ac:dyDescent="0.25">
      <c r="G18">
        <v>14</v>
      </c>
      <c r="H18">
        <v>0</v>
      </c>
      <c r="I18">
        <v>458.2</v>
      </c>
      <c r="J18">
        <f t="shared" si="0"/>
        <v>-1672.2000000000023</v>
      </c>
    </row>
    <row r="19" spans="7:10" x14ac:dyDescent="0.25">
      <c r="G19">
        <v>15</v>
      </c>
      <c r="H19">
        <v>0</v>
      </c>
      <c r="I19">
        <v>458.2</v>
      </c>
      <c r="J19">
        <f t="shared" si="0"/>
        <v>-1214.0000000000023</v>
      </c>
    </row>
    <row r="20" spans="7:10" x14ac:dyDescent="0.25">
      <c r="G20">
        <v>16</v>
      </c>
      <c r="H20">
        <v>0</v>
      </c>
      <c r="I20">
        <v>458.2</v>
      </c>
      <c r="J20">
        <f t="shared" si="0"/>
        <v>-755.80000000000223</v>
      </c>
    </row>
    <row r="21" spans="7:10" x14ac:dyDescent="0.25">
      <c r="G21">
        <v>17</v>
      </c>
      <c r="H21">
        <v>0</v>
      </c>
      <c r="I21">
        <v>458.2</v>
      </c>
      <c r="J21">
        <f t="shared" si="0"/>
        <v>-297.60000000000224</v>
      </c>
    </row>
    <row r="22" spans="7:10" x14ac:dyDescent="0.25">
      <c r="G22">
        <v>18</v>
      </c>
      <c r="H22">
        <v>0</v>
      </c>
      <c r="I22">
        <v>458.2</v>
      </c>
      <c r="J22">
        <f t="shared" si="0"/>
        <v>160.59999999999775</v>
      </c>
    </row>
    <row r="23" spans="7:10" x14ac:dyDescent="0.25">
      <c r="G23">
        <v>19</v>
      </c>
      <c r="H23">
        <v>0</v>
      </c>
      <c r="I23">
        <v>458.2</v>
      </c>
      <c r="J23">
        <f t="shared" si="0"/>
        <v>618.79999999999768</v>
      </c>
    </row>
    <row r="24" spans="7:10" x14ac:dyDescent="0.25">
      <c r="G24">
        <v>20</v>
      </c>
      <c r="H24">
        <v>0</v>
      </c>
      <c r="I24">
        <v>458.2</v>
      </c>
      <c r="J24">
        <f t="shared" si="0"/>
        <v>1076.9999999999977</v>
      </c>
    </row>
    <row r="25" spans="7:10" x14ac:dyDescent="0.25">
      <c r="G25">
        <v>21</v>
      </c>
      <c r="H25">
        <v>0</v>
      </c>
      <c r="I25">
        <v>458.2</v>
      </c>
      <c r="J25">
        <f t="shared" si="0"/>
        <v>1535.1999999999978</v>
      </c>
    </row>
    <row r="26" spans="7:10" x14ac:dyDescent="0.25">
      <c r="G26">
        <v>22</v>
      </c>
      <c r="H26">
        <v>0</v>
      </c>
      <c r="I26">
        <v>458.2</v>
      </c>
      <c r="J26">
        <f t="shared" si="0"/>
        <v>1993.3999999999978</v>
      </c>
    </row>
    <row r="27" spans="7:10" x14ac:dyDescent="0.25">
      <c r="G27">
        <v>23</v>
      </c>
      <c r="H27">
        <v>0</v>
      </c>
      <c r="I27">
        <v>458.2</v>
      </c>
      <c r="J27">
        <f t="shared" si="0"/>
        <v>2451.5999999999976</v>
      </c>
    </row>
    <row r="28" spans="7:10" x14ac:dyDescent="0.25">
      <c r="G28">
        <v>24</v>
      </c>
      <c r="H28">
        <v>0</v>
      </c>
      <c r="I28">
        <v>458.2</v>
      </c>
      <c r="J28">
        <f t="shared" si="0"/>
        <v>2909.7999999999975</v>
      </c>
    </row>
    <row r="29" spans="7:10" x14ac:dyDescent="0.25">
      <c r="G29">
        <v>25</v>
      </c>
      <c r="H29">
        <v>0</v>
      </c>
      <c r="I29">
        <v>458.2</v>
      </c>
      <c r="J29">
        <f t="shared" si="0"/>
        <v>3367.9999999999973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Paneles</vt:lpstr>
      <vt:lpstr>Baterias</vt:lpstr>
      <vt:lpstr>Resumen materiales</vt:lpstr>
      <vt:lpstr>Tejado casa existente</vt:lpstr>
      <vt:lpstr>Presupuesto construcción casa</vt:lpstr>
      <vt:lpstr>Matriz de probabilidad e impact</vt:lpstr>
      <vt:lpstr>Regulador e inversor</vt:lpstr>
      <vt:lpstr>Rentabilidad</vt:lpstr>
      <vt:lpstr>'Tejado casa existente'!PVdata425937N_030036W_1kW_33deg__75deg_14__1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Iñigo Dueñas</dc:creator>
  <cp:lastModifiedBy>Iñigo Dueñas</cp:lastModifiedBy>
  <dcterms:created xsi:type="dcterms:W3CDTF">2018-02-12T13:00:53Z</dcterms:created>
  <dcterms:modified xsi:type="dcterms:W3CDTF">2018-06-29T09:37:40Z</dcterms:modified>
</cp:coreProperties>
</file>